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defaultThemeVersion="124226"/>
  <mc:AlternateContent xmlns:mc="http://schemas.openxmlformats.org/markup-compatibility/2006">
    <mc:Choice Requires="x15">
      <x15ac:absPath xmlns:x15ac="http://schemas.microsoft.com/office/spreadsheetml/2010/11/ac" url="D:\IUSSP\2015\Final\training\_Excel\"/>
    </mc:Choice>
  </mc:AlternateContent>
  <bookViews>
    <workbookView xWindow="1092" yWindow="0" windowWidth="25128" windowHeight="11316"/>
  </bookViews>
  <sheets>
    <sheet name="Introduction" sheetId="7" r:id="rId1"/>
    <sheet name="Using Solver" sheetId="8" r:id="rId2"/>
    <sheet name="Splicing" sheetId="5" r:id="rId3"/>
    <sheet name="Brass logit" sheetId="4" r:id="rId4"/>
    <sheet name="Modified logit" sheetId="1" r:id="rId5"/>
    <sheet name="Log quadratic" sheetId="2" r:id="rId6"/>
    <sheet name="Comparison" sheetId="6" r:id="rId7"/>
    <sheet name="Standards" sheetId="3" r:id="rId8"/>
  </sheets>
  <definedNames>
    <definedName name="solver_adj" localSheetId="3" hidden="1">'Brass logit'!$H$11</definedName>
    <definedName name="solver_adj" localSheetId="5" hidden="1">'Log quadratic'!$H$10</definedName>
    <definedName name="solver_adj" localSheetId="4" hidden="1">'Modified logit'!$H$11</definedName>
    <definedName name="solver_cvg" localSheetId="3" hidden="1">0.0001</definedName>
    <definedName name="solver_cvg" localSheetId="5" hidden="1">0.0001</definedName>
    <definedName name="solver_cvg" localSheetId="4" hidden="1">0.0001</definedName>
    <definedName name="solver_drv" localSheetId="3" hidden="1">1</definedName>
    <definedName name="solver_drv" localSheetId="5" hidden="1">1</definedName>
    <definedName name="solver_drv" localSheetId="4" hidden="1">1</definedName>
    <definedName name="solver_eng" localSheetId="3" hidden="1">1</definedName>
    <definedName name="solver_eng" localSheetId="5" hidden="1">1</definedName>
    <definedName name="solver_eng" localSheetId="4" hidden="1">1</definedName>
    <definedName name="solver_eng" localSheetId="1" hidden="1">1</definedName>
    <definedName name="solver_est" localSheetId="3" hidden="1">1</definedName>
    <definedName name="solver_est" localSheetId="5" hidden="1">1</definedName>
    <definedName name="solver_est" localSheetId="4" hidden="1">1</definedName>
    <definedName name="solver_itr" localSheetId="3" hidden="1">100</definedName>
    <definedName name="solver_itr" localSheetId="5" hidden="1">100</definedName>
    <definedName name="solver_itr" localSheetId="4" hidden="1">100</definedName>
    <definedName name="solver_lhs1" localSheetId="4" hidden="1">'Modified logit'!$H$11</definedName>
    <definedName name="solver_lhs2" localSheetId="4" hidden="1">'Modified logit'!$H$11</definedName>
    <definedName name="solver_lhs3" localSheetId="4" hidden="1">'Modified logit'!$H$10</definedName>
    <definedName name="solver_lhs4" localSheetId="4" hidden="1">'Modified logit'!$H$10</definedName>
    <definedName name="solver_lin" localSheetId="3" hidden="1">2</definedName>
    <definedName name="solver_lin" localSheetId="5" hidden="1">2</definedName>
    <definedName name="solver_lin" localSheetId="4" hidden="1">2</definedName>
    <definedName name="solver_mip" localSheetId="3" hidden="1">2147483647</definedName>
    <definedName name="solver_mip" localSheetId="5" hidden="1">2147483647</definedName>
    <definedName name="solver_mip" localSheetId="4" hidden="1">2147483647</definedName>
    <definedName name="solver_mni" localSheetId="3" hidden="1">30</definedName>
    <definedName name="solver_mni" localSheetId="5" hidden="1">30</definedName>
    <definedName name="solver_mni" localSheetId="4" hidden="1">30</definedName>
    <definedName name="solver_mrt" localSheetId="3" hidden="1">0.075</definedName>
    <definedName name="solver_mrt" localSheetId="5" hidden="1">0.075</definedName>
    <definedName name="solver_mrt" localSheetId="4" hidden="1">0.075</definedName>
    <definedName name="solver_msl" localSheetId="3" hidden="1">2</definedName>
    <definedName name="solver_msl" localSheetId="5" hidden="1">2</definedName>
    <definedName name="solver_msl" localSheetId="4" hidden="1">2</definedName>
    <definedName name="solver_neg" localSheetId="3" hidden="1">2</definedName>
    <definedName name="solver_neg" localSheetId="5" hidden="1">2</definedName>
    <definedName name="solver_neg" localSheetId="4" hidden="1">2</definedName>
    <definedName name="solver_neg" localSheetId="1" hidden="1">1</definedName>
    <definedName name="solver_nod" localSheetId="3" hidden="1">2147483647</definedName>
    <definedName name="solver_nod" localSheetId="5" hidden="1">2147483647</definedName>
    <definedName name="solver_nod" localSheetId="4" hidden="1">2147483647</definedName>
    <definedName name="solver_num" localSheetId="3" hidden="1">0</definedName>
    <definedName name="solver_num" localSheetId="5" hidden="1">0</definedName>
    <definedName name="solver_num" localSheetId="4" hidden="1">0</definedName>
    <definedName name="solver_num" localSheetId="1" hidden="1">0</definedName>
    <definedName name="solver_nwt" localSheetId="3" hidden="1">1</definedName>
    <definedName name="solver_nwt" localSheetId="5" hidden="1">1</definedName>
    <definedName name="solver_nwt" localSheetId="4" hidden="1">1</definedName>
    <definedName name="solver_opt" localSheetId="3" hidden="1">'Brass logit'!$I$11</definedName>
    <definedName name="solver_opt" localSheetId="5" hidden="1">'Log quadratic'!$I$10</definedName>
    <definedName name="solver_opt" localSheetId="4" hidden="1">'Modified logit'!$I$11</definedName>
    <definedName name="solver_pre" localSheetId="3" hidden="1">0.000001</definedName>
    <definedName name="solver_pre" localSheetId="5" hidden="1">0.000001</definedName>
    <definedName name="solver_pre" localSheetId="4" hidden="1">0.000001</definedName>
    <definedName name="solver_rbv" localSheetId="3" hidden="1">1</definedName>
    <definedName name="solver_rbv" localSheetId="5" hidden="1">1</definedName>
    <definedName name="solver_rbv" localSheetId="4" hidden="1">1</definedName>
    <definedName name="solver_rel1" localSheetId="4" hidden="1">3</definedName>
    <definedName name="solver_rel2" localSheetId="4" hidden="1">3</definedName>
    <definedName name="solver_rel3" localSheetId="4" hidden="1">3</definedName>
    <definedName name="solver_rel4" localSheetId="4" hidden="1">3</definedName>
    <definedName name="solver_rhs1" localSheetId="4" hidden="1">0.4</definedName>
    <definedName name="solver_rhs2" localSheetId="4" hidden="1">0.4</definedName>
    <definedName name="solver_rhs3" localSheetId="4" hidden="1">-2</definedName>
    <definedName name="solver_rhs4" localSheetId="4" hidden="1">-2</definedName>
    <definedName name="solver_rlx" localSheetId="3" hidden="1">1</definedName>
    <definedName name="solver_rlx" localSheetId="5" hidden="1">1</definedName>
    <definedName name="solver_rlx" localSheetId="4" hidden="1">1</definedName>
    <definedName name="solver_rsd" localSheetId="3" hidden="1">0</definedName>
    <definedName name="solver_rsd" localSheetId="5" hidden="1">0</definedName>
    <definedName name="solver_rsd" localSheetId="4" hidden="1">0</definedName>
    <definedName name="solver_scl" localSheetId="3" hidden="1">2</definedName>
    <definedName name="solver_scl" localSheetId="5" hidden="1">2</definedName>
    <definedName name="solver_scl" localSheetId="4" hidden="1">2</definedName>
    <definedName name="solver_sho" localSheetId="3" hidden="1">2</definedName>
    <definedName name="solver_sho" localSheetId="5" hidden="1">2</definedName>
    <definedName name="solver_sho" localSheetId="4" hidden="1">2</definedName>
    <definedName name="solver_ssz" localSheetId="3" hidden="1">100</definedName>
    <definedName name="solver_ssz" localSheetId="5" hidden="1">100</definedName>
    <definedName name="solver_ssz" localSheetId="4" hidden="1">100</definedName>
    <definedName name="solver_tim" localSheetId="3" hidden="1">100</definedName>
    <definedName name="solver_tim" localSheetId="5" hidden="1">100</definedName>
    <definedName name="solver_tim" localSheetId="4" hidden="1">100</definedName>
    <definedName name="solver_tol" localSheetId="3" hidden="1">0.05</definedName>
    <definedName name="solver_tol" localSheetId="5" hidden="1">0.05</definedName>
    <definedName name="solver_tol" localSheetId="4" hidden="1">0.05</definedName>
    <definedName name="solver_typ" localSheetId="3" hidden="1">3</definedName>
    <definedName name="solver_typ" localSheetId="5" hidden="1">3</definedName>
    <definedName name="solver_typ" localSheetId="4" hidden="1">3</definedName>
    <definedName name="solver_typ" localSheetId="1" hidden="1">1</definedName>
    <definedName name="solver_val" localSheetId="3" hidden="1">0</definedName>
    <definedName name="solver_val" localSheetId="5" hidden="1">0</definedName>
    <definedName name="solver_val" localSheetId="4" hidden="1">0</definedName>
    <definedName name="solver_val" localSheetId="1" hidden="1">0</definedName>
    <definedName name="solver_ver" localSheetId="3" hidden="1">3</definedName>
    <definedName name="solver_ver" localSheetId="5" hidden="1">3</definedName>
    <definedName name="solver_ver" localSheetId="4" hidden="1">3</definedName>
    <definedName name="solver_ver" localSheetId="1" hidden="1">3</definedName>
  </definedNames>
  <calcPr calcId="171027"/>
</workbook>
</file>

<file path=xl/calcChain.xml><?xml version="1.0" encoding="utf-8"?>
<calcChain xmlns="http://schemas.openxmlformats.org/spreadsheetml/2006/main">
  <c r="B24" i="7" l="1"/>
  <c r="W7" i="2" l="1"/>
  <c r="T7" i="1"/>
  <c r="M7" i="4"/>
  <c r="M2" i="4"/>
  <c r="M4" i="5"/>
  <c r="C25" i="7"/>
  <c r="C24" i="7"/>
  <c r="K35" i="2"/>
  <c r="K34" i="2"/>
  <c r="K33" i="2"/>
  <c r="K32" i="2"/>
  <c r="K31" i="2"/>
  <c r="K30" i="2"/>
  <c r="K29" i="2"/>
  <c r="K28" i="2"/>
  <c r="K27" i="2"/>
  <c r="K26" i="2"/>
  <c r="K25" i="2"/>
  <c r="K24" i="2"/>
  <c r="K23" i="2"/>
  <c r="K22" i="2"/>
  <c r="K21" i="2"/>
  <c r="K20" i="2"/>
  <c r="K19" i="2"/>
  <c r="K18" i="2"/>
  <c r="K17" i="2"/>
  <c r="K16" i="2"/>
  <c r="K15" i="2"/>
  <c r="K14" i="2"/>
  <c r="K13" i="2"/>
  <c r="B35" i="2"/>
  <c r="B34" i="2"/>
  <c r="B33" i="2"/>
  <c r="B32" i="2"/>
  <c r="B31" i="2"/>
  <c r="B30" i="2"/>
  <c r="B29" i="2"/>
  <c r="B28" i="2"/>
  <c r="B27" i="2"/>
  <c r="B26" i="2"/>
  <c r="B25" i="2"/>
  <c r="B24" i="2"/>
  <c r="B23" i="2"/>
  <c r="B22" i="2"/>
  <c r="B21" i="2"/>
  <c r="B20" i="2"/>
  <c r="B19" i="2"/>
  <c r="B18" i="2"/>
  <c r="B17" i="2"/>
  <c r="B16" i="2"/>
  <c r="B15" i="2"/>
  <c r="B14" i="2"/>
  <c r="B13" i="2"/>
  <c r="G38" i="4"/>
  <c r="G37" i="4"/>
  <c r="G36" i="4"/>
  <c r="G35" i="4"/>
  <c r="G34" i="4"/>
  <c r="G33" i="4"/>
  <c r="G32" i="4"/>
  <c r="G31" i="4"/>
  <c r="G30" i="4"/>
  <c r="G29" i="4"/>
  <c r="G28" i="4"/>
  <c r="G27" i="4"/>
  <c r="G26" i="4"/>
  <c r="G25" i="4"/>
  <c r="G24" i="4"/>
  <c r="G23" i="4"/>
  <c r="G22" i="4"/>
  <c r="G21" i="4"/>
  <c r="G20" i="4"/>
  <c r="G19" i="4"/>
  <c r="G18" i="4"/>
  <c r="G17" i="4"/>
  <c r="C38" i="4"/>
  <c r="C37" i="4"/>
  <c r="C36" i="4"/>
  <c r="C35" i="4"/>
  <c r="C34" i="4"/>
  <c r="C33" i="4"/>
  <c r="C32" i="4"/>
  <c r="C31" i="4"/>
  <c r="C30" i="4"/>
  <c r="C29" i="4"/>
  <c r="C28" i="4"/>
  <c r="C27" i="4"/>
  <c r="C26" i="4"/>
  <c r="C25" i="4"/>
  <c r="C24" i="4"/>
  <c r="C23" i="4"/>
  <c r="C22" i="4"/>
  <c r="C21" i="4"/>
  <c r="C20" i="4"/>
  <c r="C19" i="4"/>
  <c r="C18" i="4"/>
  <c r="C17" i="4"/>
  <c r="G16" i="4"/>
  <c r="C16" i="4"/>
  <c r="G8" i="4"/>
  <c r="C8" i="4"/>
  <c r="G8" i="2"/>
  <c r="C8" i="2"/>
  <c r="G8" i="1"/>
  <c r="C8" i="1"/>
  <c r="B32" i="1"/>
  <c r="B31" i="1"/>
  <c r="B30" i="1"/>
  <c r="B29" i="1"/>
  <c r="B28" i="1"/>
  <c r="B27" i="1"/>
  <c r="B26" i="1"/>
  <c r="B25" i="1"/>
  <c r="B24" i="1"/>
  <c r="B23" i="1"/>
  <c r="B22" i="1"/>
  <c r="B21" i="1"/>
  <c r="B20" i="1"/>
  <c r="B19" i="1"/>
  <c r="B18" i="1"/>
  <c r="B17" i="1"/>
  <c r="B16" i="1"/>
  <c r="B15" i="1"/>
  <c r="B37" i="4"/>
  <c r="B36" i="4"/>
  <c r="B35" i="4"/>
  <c r="B34" i="4"/>
  <c r="B33" i="4"/>
  <c r="B32" i="4"/>
  <c r="B31" i="4"/>
  <c r="B30" i="4"/>
  <c r="B29" i="4"/>
  <c r="B28" i="4"/>
  <c r="B27" i="4"/>
  <c r="B26" i="4"/>
  <c r="B25" i="4"/>
  <c r="B24" i="4"/>
  <c r="B23" i="4"/>
  <c r="B22" i="4"/>
  <c r="B21" i="4"/>
  <c r="B20" i="4"/>
  <c r="B19" i="4"/>
  <c r="B18" i="4"/>
  <c r="B17" i="4"/>
  <c r="B16" i="4"/>
  <c r="B15" i="4"/>
  <c r="B34" i="5"/>
  <c r="B33" i="5"/>
  <c r="B32" i="5"/>
  <c r="B31" i="5"/>
  <c r="B30" i="5"/>
  <c r="B29" i="5"/>
  <c r="B28" i="5"/>
  <c r="B27" i="5"/>
  <c r="B26" i="5"/>
  <c r="B25" i="5"/>
  <c r="B24" i="5"/>
  <c r="B23" i="5"/>
  <c r="B22" i="5"/>
  <c r="B21" i="5"/>
  <c r="B20" i="5"/>
  <c r="B19" i="5"/>
  <c r="B18" i="5"/>
  <c r="B17" i="5"/>
  <c r="B16" i="5"/>
  <c r="B15" i="5"/>
  <c r="B14" i="5"/>
  <c r="B13" i="5"/>
  <c r="B12" i="5"/>
  <c r="H8" i="2"/>
  <c r="D8" i="2"/>
  <c r="H7" i="2"/>
  <c r="I15" i="2" s="1"/>
  <c r="D7" i="2"/>
  <c r="H8" i="1"/>
  <c r="D8" i="1"/>
  <c r="H7" i="1"/>
  <c r="H9" i="1" s="1"/>
  <c r="G17" i="1" s="1"/>
  <c r="H17" i="1" s="1"/>
  <c r="D7" i="1"/>
  <c r="D9" i="1" s="1"/>
  <c r="H8" i="4"/>
  <c r="D8" i="4"/>
  <c r="H7" i="4"/>
  <c r="H9" i="4" s="1"/>
  <c r="D7" i="4"/>
  <c r="I5" i="5"/>
  <c r="J5" i="5"/>
  <c r="J4" i="5"/>
  <c r="E5" i="5"/>
  <c r="D5" i="5"/>
  <c r="E4" i="5"/>
  <c r="N34" i="1"/>
  <c r="R35" i="1"/>
  <c r="R34" i="1"/>
  <c r="N35" i="1"/>
  <c r="H15" i="5"/>
  <c r="H16" i="5"/>
  <c r="H17" i="5"/>
  <c r="H18" i="5"/>
  <c r="H19" i="5"/>
  <c r="H20" i="5"/>
  <c r="H21" i="5"/>
  <c r="H22" i="5"/>
  <c r="H23" i="5"/>
  <c r="H24" i="5"/>
  <c r="H25" i="5"/>
  <c r="H26" i="5"/>
  <c r="H27" i="5"/>
  <c r="H28" i="5"/>
  <c r="H29" i="5"/>
  <c r="H30" i="5"/>
  <c r="H31" i="5"/>
  <c r="H32" i="5"/>
  <c r="H33" i="5"/>
  <c r="H34" i="5"/>
  <c r="H35" i="5"/>
  <c r="H14" i="5"/>
  <c r="C15" i="5"/>
  <c r="C16" i="5"/>
  <c r="C17" i="5"/>
  <c r="C18" i="5"/>
  <c r="C19" i="5"/>
  <c r="C20" i="5"/>
  <c r="C21" i="5"/>
  <c r="C22" i="5"/>
  <c r="C23" i="5"/>
  <c r="C24" i="5"/>
  <c r="C25" i="5"/>
  <c r="C26" i="5"/>
  <c r="C27" i="5"/>
  <c r="C28" i="5"/>
  <c r="C29" i="5"/>
  <c r="C30" i="5"/>
  <c r="C31" i="5"/>
  <c r="C32" i="5"/>
  <c r="C33" i="5"/>
  <c r="C34" i="5"/>
  <c r="C35" i="5"/>
  <c r="C14" i="5"/>
  <c r="E7" i="5" s="1"/>
  <c r="J6" i="5"/>
  <c r="E6" i="5"/>
  <c r="H13" i="5"/>
  <c r="C13" i="5"/>
  <c r="D9" i="2"/>
  <c r="C21" i="2" s="1"/>
  <c r="D21" i="2" s="1"/>
  <c r="D9" i="4"/>
  <c r="C23" i="2"/>
  <c r="D23" i="2" s="1"/>
  <c r="E15" i="2"/>
  <c r="C25" i="2"/>
  <c r="D25" i="2" s="1"/>
  <c r="C17" i="1"/>
  <c r="D17" i="1" s="1"/>
  <c r="I35" i="5" l="1"/>
  <c r="H19" i="4"/>
  <c r="C13" i="2"/>
  <c r="D13" i="2" s="1"/>
  <c r="E14" i="2" s="1"/>
  <c r="C34" i="2"/>
  <c r="D34" i="2" s="1"/>
  <c r="D25" i="4"/>
  <c r="D22" i="4"/>
  <c r="C32" i="2"/>
  <c r="D32" i="2" s="1"/>
  <c r="C16" i="2"/>
  <c r="D16" i="2" s="1"/>
  <c r="C36" i="2"/>
  <c r="D36" i="2" s="1"/>
  <c r="C18" i="2"/>
  <c r="D18" i="2" s="1"/>
  <c r="C33" i="2"/>
  <c r="D33" i="2" s="1"/>
  <c r="C20" i="2"/>
  <c r="D20" i="2" s="1"/>
  <c r="C27" i="2"/>
  <c r="D27" i="2" s="1"/>
  <c r="C24" i="2"/>
  <c r="D24" i="2" s="1"/>
  <c r="C31" i="2"/>
  <c r="D31" i="2" s="1"/>
  <c r="C28" i="2"/>
  <c r="D28" i="2" s="1"/>
  <c r="C17" i="2"/>
  <c r="D17" i="2" s="1"/>
  <c r="C35" i="2"/>
  <c r="D35" i="2" s="1"/>
  <c r="C19" i="2"/>
  <c r="D19" i="2" s="1"/>
  <c r="C29" i="2"/>
  <c r="D29" i="2" s="1"/>
  <c r="C15" i="2"/>
  <c r="D15" i="2" s="1"/>
  <c r="E16" i="2" s="1"/>
  <c r="E17" i="2" s="1"/>
  <c r="E18" i="2" s="1"/>
  <c r="C26" i="2"/>
  <c r="D26" i="2" s="1"/>
  <c r="C30" i="2"/>
  <c r="D30" i="2" s="1"/>
  <c r="G28" i="1"/>
  <c r="G27" i="1"/>
  <c r="H27" i="1" s="1"/>
  <c r="G33" i="1"/>
  <c r="H33" i="1" s="1"/>
  <c r="G24" i="1"/>
  <c r="H24" i="1" s="1"/>
  <c r="G22" i="1"/>
  <c r="H22" i="1" s="1"/>
  <c r="G26" i="1"/>
  <c r="H26" i="1" s="1"/>
  <c r="I26" i="1" s="1"/>
  <c r="G19" i="1"/>
  <c r="H19" i="1" s="1"/>
  <c r="G18" i="1"/>
  <c r="H18" i="1" s="1"/>
  <c r="I18" i="1" s="1"/>
  <c r="G25" i="1"/>
  <c r="H25" i="1" s="1"/>
  <c r="I25" i="1" s="1"/>
  <c r="H10" i="1"/>
  <c r="G30" i="1"/>
  <c r="H30" i="1" s="1"/>
  <c r="G32" i="1"/>
  <c r="H32" i="1" s="1"/>
  <c r="G23" i="1"/>
  <c r="H23" i="1" s="1"/>
  <c r="I23" i="1" s="1"/>
  <c r="G16" i="1"/>
  <c r="H16" i="1" s="1"/>
  <c r="C21" i="1"/>
  <c r="D21" i="1" s="1"/>
  <c r="C22" i="2"/>
  <c r="D22" i="2" s="1"/>
  <c r="H9" i="2"/>
  <c r="C28" i="1"/>
  <c r="C32" i="1"/>
  <c r="D32" i="1" s="1"/>
  <c r="C24" i="1"/>
  <c r="D24" i="1" s="1"/>
  <c r="C29" i="1"/>
  <c r="D29" i="1" s="1"/>
  <c r="D10" i="1"/>
  <c r="C16" i="1"/>
  <c r="D16" i="1" s="1"/>
  <c r="H24" i="4"/>
  <c r="J7" i="5"/>
  <c r="J15" i="5" s="1"/>
  <c r="D38" i="4"/>
  <c r="H21" i="4"/>
  <c r="H25" i="4"/>
  <c r="H33" i="4"/>
  <c r="H34" i="4"/>
  <c r="D10" i="4"/>
  <c r="D23" i="4"/>
  <c r="D16" i="4"/>
  <c r="E15" i="4" s="1"/>
  <c r="H35" i="4"/>
  <c r="I17" i="5"/>
  <c r="D31" i="4"/>
  <c r="D33" i="4"/>
  <c r="H27" i="4"/>
  <c r="H17" i="4"/>
  <c r="H16" i="4"/>
  <c r="I15" i="4" s="1"/>
  <c r="H10" i="4"/>
  <c r="I28" i="5"/>
  <c r="D17" i="4"/>
  <c r="J8" i="5"/>
  <c r="D24" i="4"/>
  <c r="D32" i="4"/>
  <c r="H18" i="4"/>
  <c r="I18" i="4" s="1"/>
  <c r="H26" i="4"/>
  <c r="I25" i="4" s="1"/>
  <c r="I32" i="5"/>
  <c r="I18" i="5"/>
  <c r="I31" i="5"/>
  <c r="I23" i="5"/>
  <c r="D18" i="4"/>
  <c r="H20" i="4"/>
  <c r="I19" i="4" s="1"/>
  <c r="I26" i="5"/>
  <c r="I30" i="5"/>
  <c r="I22" i="5"/>
  <c r="D19" i="4"/>
  <c r="I34" i="5"/>
  <c r="I29" i="5"/>
  <c r="I21" i="5"/>
  <c r="D20" i="4"/>
  <c r="I25" i="5"/>
  <c r="I27" i="5"/>
  <c r="I33" i="5"/>
  <c r="I24" i="5"/>
  <c r="D26" i="4"/>
  <c r="D34" i="4"/>
  <c r="H28" i="4"/>
  <c r="H36" i="4"/>
  <c r="D17" i="5"/>
  <c r="H30" i="4"/>
  <c r="H38" i="4"/>
  <c r="E13" i="5"/>
  <c r="B7" i="6" s="1"/>
  <c r="H29" i="4"/>
  <c r="D27" i="5"/>
  <c r="E16" i="5"/>
  <c r="B8" i="6" s="1"/>
  <c r="E8" i="5"/>
  <c r="D27" i="4"/>
  <c r="D35" i="4"/>
  <c r="H37" i="4"/>
  <c r="I20" i="5"/>
  <c r="D21" i="4"/>
  <c r="D29" i="4"/>
  <c r="D37" i="4"/>
  <c r="H23" i="4"/>
  <c r="I23" i="4" s="1"/>
  <c r="H31" i="4"/>
  <c r="I19" i="5"/>
  <c r="I24" i="4"/>
  <c r="E14" i="5"/>
  <c r="D33" i="5"/>
  <c r="D19" i="5"/>
  <c r="D31" i="5"/>
  <c r="D23" i="5"/>
  <c r="E15" i="5"/>
  <c r="D28" i="4"/>
  <c r="D36" i="4"/>
  <c r="H22" i="4"/>
  <c r="D34" i="5"/>
  <c r="D28" i="5"/>
  <c r="D29" i="5"/>
  <c r="D21" i="5"/>
  <c r="D30" i="4"/>
  <c r="H32" i="4"/>
  <c r="D30" i="5"/>
  <c r="D24" i="5"/>
  <c r="D25" i="5"/>
  <c r="D32" i="5"/>
  <c r="D26" i="5"/>
  <c r="D20" i="5"/>
  <c r="D22" i="5"/>
  <c r="D18" i="5"/>
  <c r="D35" i="5"/>
  <c r="J13" i="5"/>
  <c r="J16" i="5"/>
  <c r="I11" i="4" l="1"/>
  <c r="I21" i="6" s="1"/>
  <c r="I21" i="4"/>
  <c r="E37" i="4"/>
  <c r="E22" i="4"/>
  <c r="I26" i="4"/>
  <c r="E15" i="1"/>
  <c r="E16" i="1"/>
  <c r="E29" i="1"/>
  <c r="E24" i="1"/>
  <c r="D28" i="1"/>
  <c r="E28" i="1" s="1"/>
  <c r="C25" i="1"/>
  <c r="D25" i="1" s="1"/>
  <c r="I16" i="1"/>
  <c r="I15" i="1"/>
  <c r="I32" i="1"/>
  <c r="I22" i="1"/>
  <c r="I27" i="1"/>
  <c r="E19" i="2"/>
  <c r="E20" i="2" s="1"/>
  <c r="E21" i="2" s="1"/>
  <c r="E22" i="2" s="1"/>
  <c r="E23" i="2" s="1"/>
  <c r="E24" i="2" s="1"/>
  <c r="E25" i="2" s="1"/>
  <c r="E26" i="2" s="1"/>
  <c r="I17" i="1"/>
  <c r="J14" i="5"/>
  <c r="E21" i="4"/>
  <c r="E33" i="4"/>
  <c r="C31" i="1"/>
  <c r="D31" i="1" s="1"/>
  <c r="E31" i="1" s="1"/>
  <c r="C18" i="1"/>
  <c r="D18" i="1" s="1"/>
  <c r="G13" i="2"/>
  <c r="H13" i="2" s="1"/>
  <c r="I14" i="2" s="1"/>
  <c r="G15" i="2"/>
  <c r="H15" i="2" s="1"/>
  <c r="I16" i="2" s="1"/>
  <c r="G17" i="2"/>
  <c r="H17" i="2" s="1"/>
  <c r="G26" i="2"/>
  <c r="H26" i="2" s="1"/>
  <c r="G27" i="2"/>
  <c r="H27" i="2" s="1"/>
  <c r="G16" i="2"/>
  <c r="H16" i="2" s="1"/>
  <c r="G30" i="2"/>
  <c r="H30" i="2" s="1"/>
  <c r="G36" i="2"/>
  <c r="H36" i="2" s="1"/>
  <c r="G35" i="2"/>
  <c r="H35" i="2" s="1"/>
  <c r="G32" i="2"/>
  <c r="H32" i="2" s="1"/>
  <c r="G21" i="2"/>
  <c r="H21" i="2" s="1"/>
  <c r="G33" i="2"/>
  <c r="H33" i="2" s="1"/>
  <c r="G25" i="2"/>
  <c r="H25" i="2" s="1"/>
  <c r="G31" i="2"/>
  <c r="H31" i="2" s="1"/>
  <c r="G29" i="2"/>
  <c r="H29" i="2" s="1"/>
  <c r="G28" i="2"/>
  <c r="H28" i="2" s="1"/>
  <c r="G34" i="2"/>
  <c r="H34" i="2" s="1"/>
  <c r="G22" i="2"/>
  <c r="H22" i="2" s="1"/>
  <c r="G18" i="2"/>
  <c r="H18" i="2" s="1"/>
  <c r="G19" i="2"/>
  <c r="H19" i="2" s="1"/>
  <c r="G20" i="2"/>
  <c r="H20" i="2" s="1"/>
  <c r="G23" i="2"/>
  <c r="H23" i="2" s="1"/>
  <c r="G24" i="2"/>
  <c r="H24" i="2" s="1"/>
  <c r="C23" i="1"/>
  <c r="D23" i="1" s="1"/>
  <c r="E23" i="1" s="1"/>
  <c r="I30" i="1"/>
  <c r="I19" i="1"/>
  <c r="I24" i="1"/>
  <c r="H28" i="1"/>
  <c r="I28" i="1" s="1"/>
  <c r="G20" i="1"/>
  <c r="H20" i="1" s="1"/>
  <c r="G21" i="1"/>
  <c r="H21" i="1" s="1"/>
  <c r="I21" i="1" s="1"/>
  <c r="C20" i="1"/>
  <c r="D20" i="1" s="1"/>
  <c r="E20" i="1" s="1"/>
  <c r="D14" i="2"/>
  <c r="E25" i="4"/>
  <c r="C27" i="1"/>
  <c r="D27" i="1" s="1"/>
  <c r="C33" i="1"/>
  <c r="D33" i="1" s="1"/>
  <c r="E32" i="1" s="1"/>
  <c r="E33" i="1" s="1"/>
  <c r="C30" i="1"/>
  <c r="D30" i="1" s="1"/>
  <c r="E30" i="1" s="1"/>
  <c r="C22" i="1"/>
  <c r="D22" i="1" s="1"/>
  <c r="E22" i="1" s="1"/>
  <c r="G29" i="1"/>
  <c r="H29" i="1" s="1"/>
  <c r="I29" i="1" s="1"/>
  <c r="G31" i="1"/>
  <c r="H31" i="1" s="1"/>
  <c r="I31" i="1" s="1"/>
  <c r="C19" i="1"/>
  <c r="D19" i="1" s="1"/>
  <c r="I11" i="1"/>
  <c r="C26" i="1"/>
  <c r="D26" i="1" s="1"/>
  <c r="E26" i="1" s="1"/>
  <c r="E23" i="4"/>
  <c r="I33" i="4"/>
  <c r="E16" i="4"/>
  <c r="E32" i="4"/>
  <c r="E19" i="4"/>
  <c r="I34" i="4"/>
  <c r="E24" i="4"/>
  <c r="E35" i="4"/>
  <c r="I35" i="4"/>
  <c r="E30" i="4"/>
  <c r="E31" i="4"/>
  <c r="E18" i="4"/>
  <c r="E34" i="4"/>
  <c r="I17" i="4"/>
  <c r="E17" i="4"/>
  <c r="I20" i="4"/>
  <c r="I16" i="4"/>
  <c r="I27" i="4"/>
  <c r="I28" i="4"/>
  <c r="I30" i="4"/>
  <c r="I36" i="6" s="1"/>
  <c r="E26" i="4"/>
  <c r="E20" i="4"/>
  <c r="I26" i="6"/>
  <c r="K14" i="5"/>
  <c r="H23" i="6" s="1"/>
  <c r="F12" i="5"/>
  <c r="C21" i="6" s="1"/>
  <c r="I31" i="4"/>
  <c r="I29" i="4"/>
  <c r="I35" i="6" s="1"/>
  <c r="I37" i="4"/>
  <c r="E29" i="4"/>
  <c r="H7" i="6"/>
  <c r="H8" i="6"/>
  <c r="E22" i="5"/>
  <c r="F13" i="5"/>
  <c r="C22" i="6" s="1"/>
  <c r="E32" i="5"/>
  <c r="E29" i="5"/>
  <c r="E31" i="5"/>
  <c r="E34" i="5"/>
  <c r="E30" i="5"/>
  <c r="I22" i="4"/>
  <c r="I28" i="6" s="1"/>
  <c r="E25" i="5"/>
  <c r="E28" i="5"/>
  <c r="I32" i="4"/>
  <c r="E28" i="4"/>
  <c r="F14" i="5"/>
  <c r="C23" i="6" s="1"/>
  <c r="E24" i="5"/>
  <c r="E36" i="4"/>
  <c r="E38" i="4" s="1"/>
  <c r="F15" i="5"/>
  <c r="C24" i="6" s="1"/>
  <c r="E27" i="5"/>
  <c r="E35" i="5"/>
  <c r="E18" i="5"/>
  <c r="E26" i="5"/>
  <c r="E33" i="5"/>
  <c r="E20" i="5"/>
  <c r="E17" i="5"/>
  <c r="F16" i="5" s="1"/>
  <c r="C25" i="6" s="1"/>
  <c r="I36" i="4"/>
  <c r="E21" i="5"/>
  <c r="E23" i="5"/>
  <c r="E19" i="5"/>
  <c r="E27" i="4"/>
  <c r="E11" i="4"/>
  <c r="J35" i="5"/>
  <c r="J21" i="5"/>
  <c r="J27" i="5"/>
  <c r="J33" i="5"/>
  <c r="J31" i="5"/>
  <c r="J19" i="5"/>
  <c r="J32" i="5"/>
  <c r="J28" i="5"/>
  <c r="J23" i="5"/>
  <c r="J20" i="5"/>
  <c r="J17" i="5"/>
  <c r="K16" i="5" s="1"/>
  <c r="H25" i="6" s="1"/>
  <c r="J29" i="5"/>
  <c r="G8" i="6"/>
  <c r="J22" i="5"/>
  <c r="J24" i="5"/>
  <c r="J34" i="5"/>
  <c r="J25" i="5"/>
  <c r="J30" i="5"/>
  <c r="J18" i="5"/>
  <c r="J26" i="5"/>
  <c r="K15" i="5"/>
  <c r="H24" i="6" s="1"/>
  <c r="G7" i="6"/>
  <c r="K13" i="5"/>
  <c r="H22" i="6" s="1"/>
  <c r="K12" i="5"/>
  <c r="H21" i="6" s="1"/>
  <c r="I38" i="6" l="1"/>
  <c r="I31" i="6"/>
  <c r="I37" i="6"/>
  <c r="I25" i="6"/>
  <c r="I34" i="6"/>
  <c r="I32" i="6"/>
  <c r="I42" i="6"/>
  <c r="H9" i="6"/>
  <c r="I29" i="6"/>
  <c r="I30" i="6"/>
  <c r="I33" i="6"/>
  <c r="I23" i="6"/>
  <c r="I27" i="6"/>
  <c r="I24" i="6"/>
  <c r="I43" i="6"/>
  <c r="I22" i="6"/>
  <c r="I41" i="6"/>
  <c r="I40" i="6"/>
  <c r="I39" i="6"/>
  <c r="D43" i="6"/>
  <c r="E18" i="1"/>
  <c r="E17" i="1"/>
  <c r="D12" i="1" s="1" a="1"/>
  <c r="D12" i="1" s="1"/>
  <c r="E21" i="1"/>
  <c r="J38" i="6"/>
  <c r="J30" i="6"/>
  <c r="J22" i="6"/>
  <c r="J31" i="6"/>
  <c r="J23" i="6"/>
  <c r="I7" i="6"/>
  <c r="J28" i="6"/>
  <c r="J35" i="6"/>
  <c r="J25" i="6"/>
  <c r="J36" i="6"/>
  <c r="J33" i="6"/>
  <c r="J21" i="6"/>
  <c r="J32" i="6"/>
  <c r="J27" i="6"/>
  <c r="I8" i="6"/>
  <c r="J37" i="6"/>
  <c r="J39" i="6"/>
  <c r="J29" i="6"/>
  <c r="I9" i="6"/>
  <c r="J24" i="6"/>
  <c r="J34" i="6"/>
  <c r="I17" i="2"/>
  <c r="E27" i="2"/>
  <c r="E28" i="2" s="1"/>
  <c r="E29" i="2" s="1"/>
  <c r="E30" i="2" s="1"/>
  <c r="E31" i="2" s="1"/>
  <c r="E32" i="2" s="1"/>
  <c r="E33" i="2" s="1"/>
  <c r="E34" i="2" s="1"/>
  <c r="E35" i="2" s="1"/>
  <c r="E36" i="2" s="1"/>
  <c r="E10" i="2"/>
  <c r="E19" i="1"/>
  <c r="E11" i="1"/>
  <c r="D11" i="2" a="1"/>
  <c r="D11" i="2" s="1"/>
  <c r="I20" i="1"/>
  <c r="H12" i="1" s="1" a="1"/>
  <c r="H12" i="1" s="1"/>
  <c r="I6" i="6" s="1"/>
  <c r="H14" i="2"/>
  <c r="E27" i="1"/>
  <c r="I33" i="1"/>
  <c r="E25" i="1"/>
  <c r="K20" i="5"/>
  <c r="H29" i="6" s="1"/>
  <c r="F22" i="5"/>
  <c r="C31" i="6" s="1"/>
  <c r="F27" i="5"/>
  <c r="C36" i="6" s="1"/>
  <c r="F29" i="5"/>
  <c r="C38" i="6" s="1"/>
  <c r="D33" i="6"/>
  <c r="D31" i="6"/>
  <c r="D38" i="6"/>
  <c r="D35" i="6"/>
  <c r="D26" i="6"/>
  <c r="F32" i="5"/>
  <c r="C41" i="6" s="1"/>
  <c r="F28" i="5"/>
  <c r="C37" i="6" s="1"/>
  <c r="D42" i="6"/>
  <c r="C9" i="6"/>
  <c r="D36" i="6"/>
  <c r="D23" i="6"/>
  <c r="D28" i="6"/>
  <c r="D39" i="6"/>
  <c r="D37" i="6"/>
  <c r="F21" i="5"/>
  <c r="C30" i="6" s="1"/>
  <c r="D22" i="6"/>
  <c r="C8" i="6"/>
  <c r="D27" i="6"/>
  <c r="D41" i="6"/>
  <c r="D24" i="6"/>
  <c r="D34" i="6"/>
  <c r="F30" i="5"/>
  <c r="C39" i="6" s="1"/>
  <c r="F31" i="5"/>
  <c r="C40" i="6" s="1"/>
  <c r="F33" i="5"/>
  <c r="C42" i="6" s="1"/>
  <c r="F25" i="5"/>
  <c r="C34" i="6" s="1"/>
  <c r="F18" i="5"/>
  <c r="C27" i="6" s="1"/>
  <c r="F34" i="5"/>
  <c r="C43" i="6" s="1"/>
  <c r="D12" i="4" a="1"/>
  <c r="D12" i="4" s="1"/>
  <c r="C6" i="6" s="1"/>
  <c r="B9" i="6"/>
  <c r="F24" i="5"/>
  <c r="C33" i="6" s="1"/>
  <c r="F23" i="5"/>
  <c r="C32" i="6" s="1"/>
  <c r="D30" i="6"/>
  <c r="K22" i="5"/>
  <c r="H31" i="6" s="1"/>
  <c r="K19" i="5"/>
  <c r="H28" i="6" s="1"/>
  <c r="F17" i="5"/>
  <c r="C26" i="6" s="1"/>
  <c r="F20" i="5"/>
  <c r="C29" i="6" s="1"/>
  <c r="D32" i="6"/>
  <c r="C7" i="6"/>
  <c r="D44" i="6"/>
  <c r="D29" i="6"/>
  <c r="D21" i="6"/>
  <c r="D25" i="6"/>
  <c r="D40" i="6"/>
  <c r="K24" i="5"/>
  <c r="H33" i="6" s="1"/>
  <c r="F26" i="5"/>
  <c r="C35" i="6" s="1"/>
  <c r="K30" i="5"/>
  <c r="H39" i="6" s="1"/>
  <c r="I38" i="4"/>
  <c r="K34" i="5"/>
  <c r="H43" i="6" s="1"/>
  <c r="K28" i="5"/>
  <c r="H37" i="6" s="1"/>
  <c r="F19" i="5"/>
  <c r="C28" i="6" s="1"/>
  <c r="K32" i="5"/>
  <c r="H41" i="6" s="1"/>
  <c r="K26" i="5"/>
  <c r="H35" i="6" s="1"/>
  <c r="K33" i="5"/>
  <c r="H42" i="6" s="1"/>
  <c r="K25" i="5"/>
  <c r="H34" i="6" s="1"/>
  <c r="K31" i="5"/>
  <c r="H40" i="6" s="1"/>
  <c r="K18" i="5"/>
  <c r="H27" i="6" s="1"/>
  <c r="K29" i="5"/>
  <c r="H38" i="6" s="1"/>
  <c r="G9" i="6"/>
  <c r="K17" i="5"/>
  <c r="H26" i="6" s="1"/>
  <c r="K27" i="5"/>
  <c r="H36" i="6" s="1"/>
  <c r="K21" i="5"/>
  <c r="H30" i="6" s="1"/>
  <c r="K23" i="5"/>
  <c r="H32" i="6" s="1"/>
  <c r="E8" i="6" l="1"/>
  <c r="F43" i="6"/>
  <c r="F32" i="6"/>
  <c r="F24" i="6"/>
  <c r="F41" i="6"/>
  <c r="F31" i="6"/>
  <c r="F23" i="6"/>
  <c r="E6" i="6"/>
  <c r="F40" i="6"/>
  <c r="F30" i="6"/>
  <c r="F42" i="6"/>
  <c r="F33" i="6"/>
  <c r="F21" i="6"/>
  <c r="F39" i="6"/>
  <c r="F28" i="6"/>
  <c r="F34" i="6"/>
  <c r="F29" i="6"/>
  <c r="E7" i="6"/>
  <c r="F35" i="6"/>
  <c r="F36" i="6"/>
  <c r="F44" i="6"/>
  <c r="F22" i="6"/>
  <c r="F25" i="6"/>
  <c r="F37" i="6"/>
  <c r="F26" i="6"/>
  <c r="F27" i="6"/>
  <c r="E9" i="6"/>
  <c r="F38" i="6"/>
  <c r="D8" i="6"/>
  <c r="E33" i="6"/>
  <c r="E25" i="6"/>
  <c r="E32" i="6"/>
  <c r="E24" i="6"/>
  <c r="D6" i="6"/>
  <c r="D7" i="6"/>
  <c r="E31" i="6"/>
  <c r="E23" i="6"/>
  <c r="E30" i="6"/>
  <c r="E22" i="6"/>
  <c r="E36" i="6"/>
  <c r="E37" i="6"/>
  <c r="E35" i="6"/>
  <c r="D9" i="6"/>
  <c r="E27" i="6"/>
  <c r="E26" i="6"/>
  <c r="E21" i="6"/>
  <c r="E29" i="6"/>
  <c r="E28" i="6"/>
  <c r="E39" i="6"/>
  <c r="E38" i="6"/>
  <c r="E34" i="6"/>
  <c r="I18" i="2"/>
  <c r="I19" i="2" s="1"/>
  <c r="I20" i="2" s="1"/>
  <c r="I21" i="2" s="1"/>
  <c r="I22" i="2" s="1"/>
  <c r="I23" i="2" s="1"/>
  <c r="I24" i="2" s="1"/>
  <c r="I25" i="2" s="1"/>
  <c r="I26" i="2" s="1"/>
  <c r="I27" i="2" s="1"/>
  <c r="I28" i="2" s="1"/>
  <c r="I29" i="2" s="1"/>
  <c r="I30" i="2" s="1"/>
  <c r="I31" i="2" s="1"/>
  <c r="I32" i="2" s="1"/>
  <c r="I33" i="2" s="1"/>
  <c r="I34" i="2" s="1"/>
  <c r="I35" i="2" s="1"/>
  <c r="I36" i="2" s="1"/>
  <c r="I10" i="2"/>
  <c r="J26" i="6"/>
  <c r="F35" i="5"/>
  <c r="C44" i="6" s="1"/>
  <c r="I44" i="6"/>
  <c r="H12" i="4" a="1"/>
  <c r="H12" i="4" s="1"/>
  <c r="H6" i="6" s="1"/>
  <c r="K35" i="5"/>
  <c r="H44" i="6" s="1"/>
  <c r="E9" i="5" l="1" a="1"/>
  <c r="E9" i="5" s="1"/>
  <c r="B6" i="6" s="1"/>
  <c r="J7" i="6"/>
  <c r="K43" i="6"/>
  <c r="K33" i="6"/>
  <c r="K25" i="6"/>
  <c r="K41" i="6"/>
  <c r="K32" i="6"/>
  <c r="K24" i="6"/>
  <c r="J9" i="6"/>
  <c r="K37" i="6"/>
  <c r="K27" i="6"/>
  <c r="K38" i="6"/>
  <c r="K28" i="6"/>
  <c r="J8" i="6"/>
  <c r="K44" i="6"/>
  <c r="K35" i="6"/>
  <c r="K23" i="6"/>
  <c r="K36" i="6"/>
  <c r="K26" i="6"/>
  <c r="K39" i="6"/>
  <c r="K42" i="6"/>
  <c r="K29" i="6"/>
  <c r="K30" i="6"/>
  <c r="K40" i="6"/>
  <c r="K22" i="6"/>
  <c r="K31" i="6"/>
  <c r="K34" i="6"/>
  <c r="K21" i="6"/>
  <c r="J9" i="5" a="1"/>
  <c r="J9" i="5" s="1"/>
  <c r="G6" i="6" s="1"/>
  <c r="H11" i="2" a="1"/>
  <c r="H11" i="2" s="1"/>
  <c r="J6" i="6" s="1"/>
</calcChain>
</file>

<file path=xl/comments1.xml><?xml version="1.0" encoding="utf-8"?>
<comments xmlns="http://schemas.openxmlformats.org/spreadsheetml/2006/main">
  <authors>
    <author>Tom Moultrie</author>
  </authors>
  <commentList>
    <comment ref="F11" authorId="0" shapeId="0">
      <text>
        <r>
          <rPr>
            <sz val="9"/>
            <color indexed="81"/>
            <rFont val="Tahoma"/>
            <family val="2"/>
          </rPr>
          <t>本列（或者说e0)是基于普林斯顿生命表中的一组分离系数ax而计算求得的。</t>
        </r>
      </text>
    </comment>
    <comment ref="K11" authorId="0" shapeId="0">
      <text>
        <r>
          <rPr>
            <sz val="9"/>
            <color indexed="81"/>
            <rFont val="Tahoma"/>
            <family val="2"/>
          </rPr>
          <t>本列（或者说e0)是基于普林斯顿生命表中的一组分离系数ax而计算求得的。</t>
        </r>
      </text>
    </comment>
  </commentList>
</comments>
</file>

<file path=xl/comments2.xml><?xml version="1.0" encoding="utf-8"?>
<comments xmlns="http://schemas.openxmlformats.org/spreadsheetml/2006/main">
  <authors>
    <author>Tom Moultrie</author>
  </authors>
  <commentList>
    <comment ref="E14" authorId="0" shapeId="0">
      <text>
        <r>
          <rPr>
            <sz val="9"/>
            <color indexed="81"/>
            <rFont val="Tahoma"/>
            <family val="2"/>
          </rPr>
          <t>本列（或者说e0)是基于普林斯顿生命表中的一组分离系数ax而计算求得的。</t>
        </r>
      </text>
    </comment>
    <comment ref="I14" authorId="0" shapeId="0">
      <text>
        <r>
          <rPr>
            <sz val="9"/>
            <color indexed="81"/>
            <rFont val="Tahoma"/>
            <family val="2"/>
          </rPr>
          <t>本列（或者说e0)是基于普林斯顿生命表中的一组分离系数ax而计算求得的。</t>
        </r>
      </text>
    </comment>
  </commentList>
</comments>
</file>

<file path=xl/comments3.xml><?xml version="1.0" encoding="utf-8"?>
<comments xmlns="http://schemas.openxmlformats.org/spreadsheetml/2006/main">
  <authors>
    <author>Tom Moultrie</author>
  </authors>
  <commentList>
    <comment ref="E14" authorId="0" shapeId="0">
      <text>
        <r>
          <rPr>
            <sz val="9"/>
            <color indexed="81"/>
            <rFont val="Tahoma"/>
            <family val="2"/>
          </rPr>
          <t>本列（或者说e0)是基于普林斯顿生命表中的一组分离系数ax而计算求得的。</t>
        </r>
      </text>
    </comment>
    <comment ref="I14" authorId="0" shapeId="0">
      <text>
        <r>
          <rPr>
            <sz val="9"/>
            <color indexed="81"/>
            <rFont val="Tahoma"/>
            <family val="2"/>
          </rPr>
          <t>本列（或者说e0)是基于普林斯顿生命表中的一组分离系数ax而计算求得的。</t>
        </r>
      </text>
    </comment>
  </commentList>
</comments>
</file>

<file path=xl/comments4.xml><?xml version="1.0" encoding="utf-8"?>
<comments xmlns="http://schemas.openxmlformats.org/spreadsheetml/2006/main">
  <authors>
    <author>Tom Moultrie</author>
  </authors>
  <commentList>
    <comment ref="E12" authorId="0" shapeId="0">
      <text>
        <r>
          <rPr>
            <sz val="9"/>
            <color indexed="81"/>
            <rFont val="Tahoma"/>
            <family val="2"/>
          </rPr>
          <t>本列（或者说e0)是基于普林斯顿生命表中的一组分离系数ax而计算求得的。</t>
        </r>
      </text>
    </comment>
    <comment ref="I12" authorId="0" shapeId="0">
      <text>
        <r>
          <rPr>
            <sz val="9"/>
            <color indexed="81"/>
            <rFont val="Tahoma"/>
            <family val="2"/>
          </rPr>
          <t>本列（或者说e0)是基于普林斯顿生命表中的一组分离系数ax而计算求得的。</t>
        </r>
      </text>
    </comment>
  </commentList>
</comments>
</file>

<file path=xl/sharedStrings.xml><?xml version="1.0" encoding="utf-8"?>
<sst xmlns="http://schemas.openxmlformats.org/spreadsheetml/2006/main" count="256" uniqueCount="134">
  <si>
    <t>α</t>
  </si>
  <si>
    <t>β</t>
  </si>
  <si>
    <t>h</t>
  </si>
  <si>
    <t>k</t>
  </si>
  <si>
    <t>http://esa.un.org/wpp/Model-Life-Tables/data/MLT_UN2010-130_1y.xls</t>
  </si>
  <si>
    <t xml:space="preserve">http://www.un.org/esa/population/techcoop/DemMod/model_lifetabs/Model_LT_Annex2.pdf </t>
  </si>
  <si>
    <t>45q15</t>
  </si>
  <si>
    <t>http://demographicestimation.iussp.org/content/fitting-model-life-tables-pair-estimates-child-and-adult-mortality</t>
  </si>
  <si>
    <t>n</t>
  </si>
  <si>
    <r>
      <t>γ</t>
    </r>
    <r>
      <rPr>
        <b/>
        <vertAlign val="subscript"/>
        <sz val="11"/>
        <color theme="1"/>
        <rFont val="Arial Narrow"/>
        <family val="2"/>
      </rPr>
      <t>x</t>
    </r>
  </si>
  <si>
    <r>
      <t>θ</t>
    </r>
    <r>
      <rPr>
        <b/>
        <vertAlign val="subscript"/>
        <sz val="11"/>
        <color theme="1"/>
        <rFont val="Arial Narrow"/>
        <family val="2"/>
      </rPr>
      <t>x</t>
    </r>
  </si>
  <si>
    <r>
      <rPr>
        <b/>
        <i/>
        <sz val="11"/>
        <color theme="1"/>
        <rFont val="Arial Narrow"/>
        <family val="2"/>
      </rPr>
      <t>l</t>
    </r>
    <r>
      <rPr>
        <b/>
        <vertAlign val="subscript"/>
        <sz val="11"/>
        <color theme="1"/>
        <rFont val="Arial Narrow"/>
        <family val="2"/>
      </rPr>
      <t>x</t>
    </r>
  </si>
  <si>
    <r>
      <rPr>
        <b/>
        <i/>
        <sz val="10"/>
        <color theme="1"/>
        <rFont val="Arial"/>
        <family val="2"/>
      </rPr>
      <t>Y</t>
    </r>
    <r>
      <rPr>
        <b/>
        <i/>
        <vertAlign val="subscript"/>
        <sz val="10"/>
        <color theme="1"/>
        <rFont val="Arial"/>
        <family val="2"/>
      </rPr>
      <t>s</t>
    </r>
    <r>
      <rPr>
        <b/>
        <sz val="10"/>
        <color theme="1"/>
        <rFont val="Arial"/>
        <family val="2"/>
      </rPr>
      <t>(5)</t>
    </r>
  </si>
  <si>
    <r>
      <rPr>
        <b/>
        <i/>
        <sz val="10"/>
        <color theme="1"/>
        <rFont val="Arial"/>
        <family val="2"/>
      </rPr>
      <t>Y</t>
    </r>
    <r>
      <rPr>
        <b/>
        <i/>
        <vertAlign val="subscript"/>
        <sz val="10"/>
        <color theme="1"/>
        <rFont val="Arial"/>
        <family val="2"/>
      </rPr>
      <t>s</t>
    </r>
    <r>
      <rPr>
        <b/>
        <sz val="10"/>
        <color theme="1"/>
        <rFont val="Arial"/>
        <family val="2"/>
      </rPr>
      <t>(60)</t>
    </r>
  </si>
  <si>
    <r>
      <rPr>
        <b/>
        <vertAlign val="subscript"/>
        <sz val="10"/>
        <color theme="1"/>
        <rFont val="Arial"/>
        <family val="2"/>
      </rPr>
      <t>5</t>
    </r>
    <r>
      <rPr>
        <b/>
        <i/>
        <sz val="10"/>
        <color theme="1"/>
        <rFont val="Arial"/>
        <family val="2"/>
      </rPr>
      <t>q</t>
    </r>
    <r>
      <rPr>
        <b/>
        <vertAlign val="subscript"/>
        <sz val="10"/>
        <color theme="1"/>
        <rFont val="Arial"/>
        <family val="2"/>
      </rPr>
      <t>0</t>
    </r>
  </si>
  <si>
    <r>
      <rPr>
        <b/>
        <i/>
        <sz val="10"/>
        <color theme="1"/>
        <rFont val="Arial"/>
        <family val="2"/>
      </rPr>
      <t>Y</t>
    </r>
    <r>
      <rPr>
        <b/>
        <sz val="10"/>
        <color theme="1"/>
        <rFont val="Arial"/>
        <family val="2"/>
      </rPr>
      <t>(5)</t>
    </r>
  </si>
  <si>
    <r>
      <rPr>
        <b/>
        <i/>
        <sz val="10"/>
        <color theme="1"/>
        <rFont val="Arial"/>
        <family val="2"/>
      </rPr>
      <t>e</t>
    </r>
    <r>
      <rPr>
        <b/>
        <vertAlign val="subscript"/>
        <sz val="10"/>
        <color theme="1"/>
        <rFont val="Arial"/>
        <family val="2"/>
      </rPr>
      <t>0</t>
    </r>
  </si>
  <si>
    <r>
      <rPr>
        <b/>
        <i/>
        <vertAlign val="subscript"/>
        <sz val="11"/>
        <color theme="1"/>
        <rFont val="Arial Narrow"/>
        <family val="2"/>
      </rPr>
      <t>n</t>
    </r>
    <r>
      <rPr>
        <b/>
        <i/>
        <sz val="11"/>
        <color theme="1"/>
        <rFont val="Arial Narrow"/>
        <family val="2"/>
      </rPr>
      <t>m</t>
    </r>
    <r>
      <rPr>
        <b/>
        <i/>
        <vertAlign val="subscript"/>
        <sz val="11"/>
        <color theme="1"/>
        <rFont val="Arial Narrow"/>
        <family val="2"/>
      </rPr>
      <t>x</t>
    </r>
  </si>
  <si>
    <r>
      <t>a</t>
    </r>
    <r>
      <rPr>
        <b/>
        <i/>
        <vertAlign val="subscript"/>
        <sz val="11"/>
        <color theme="1"/>
        <rFont val="Arial Narrow"/>
        <family val="2"/>
      </rPr>
      <t>x</t>
    </r>
  </si>
  <si>
    <r>
      <t>b</t>
    </r>
    <r>
      <rPr>
        <b/>
        <i/>
        <vertAlign val="subscript"/>
        <sz val="11"/>
        <color theme="1"/>
        <rFont val="Arial Narrow"/>
        <family val="2"/>
      </rPr>
      <t>x</t>
    </r>
  </si>
  <si>
    <r>
      <t>c</t>
    </r>
    <r>
      <rPr>
        <b/>
        <i/>
        <vertAlign val="subscript"/>
        <sz val="11"/>
        <color theme="1"/>
        <rFont val="Arial Narrow"/>
        <family val="2"/>
      </rPr>
      <t>x</t>
    </r>
  </si>
  <si>
    <r>
      <t>v</t>
    </r>
    <r>
      <rPr>
        <b/>
        <i/>
        <vertAlign val="subscript"/>
        <sz val="11"/>
        <color theme="1"/>
        <rFont val="Arial Narrow"/>
        <family val="2"/>
      </rPr>
      <t>x</t>
    </r>
  </si>
  <si>
    <t>&lt;default&gt;</t>
  </si>
  <si>
    <r>
      <rPr>
        <b/>
        <i/>
        <sz val="11"/>
        <color theme="1"/>
        <rFont val="Arial Narrow"/>
        <family val="2"/>
      </rPr>
      <t>l</t>
    </r>
    <r>
      <rPr>
        <b/>
        <sz val="11"/>
        <color theme="1"/>
        <rFont val="Arial Narrow"/>
        <family val="2"/>
      </rPr>
      <t>(</t>
    </r>
    <r>
      <rPr>
        <b/>
        <i/>
        <sz val="11"/>
        <color theme="1"/>
        <rFont val="Arial Narrow"/>
        <family val="2"/>
      </rPr>
      <t>x</t>
    </r>
    <r>
      <rPr>
        <b/>
        <sz val="11"/>
        <color theme="1"/>
        <rFont val="Arial Narrow"/>
        <family val="2"/>
      </rPr>
      <t>)</t>
    </r>
  </si>
  <si>
    <r>
      <t xml:space="preserve"> </t>
    </r>
    <r>
      <rPr>
        <b/>
        <i/>
        <sz val="11"/>
        <color theme="1"/>
        <rFont val="Arial Narrow"/>
        <family val="2"/>
      </rPr>
      <t>l</t>
    </r>
    <r>
      <rPr>
        <b/>
        <sz val="11"/>
        <color theme="1"/>
        <rFont val="Arial Narrow"/>
        <family val="2"/>
      </rPr>
      <t>(</t>
    </r>
    <r>
      <rPr>
        <b/>
        <i/>
        <sz val="11"/>
        <color theme="1"/>
        <rFont val="Arial Narrow"/>
        <family val="2"/>
      </rPr>
      <t>x</t>
    </r>
    <r>
      <rPr>
        <b/>
        <sz val="11"/>
        <color theme="1"/>
        <rFont val="Arial Narrow"/>
        <family val="2"/>
      </rPr>
      <t>)</t>
    </r>
  </si>
  <si>
    <t xml:space="preserve"> nmx</t>
  </si>
  <si>
    <r>
      <rPr>
        <b/>
        <i/>
        <sz val="11"/>
        <color theme="1"/>
        <rFont val="Arial Narrow"/>
        <family val="2"/>
      </rPr>
      <t>e</t>
    </r>
    <r>
      <rPr>
        <b/>
        <vertAlign val="subscript"/>
        <sz val="11"/>
        <color theme="1"/>
        <rFont val="Arial Narrow"/>
        <family val="2"/>
      </rPr>
      <t>0</t>
    </r>
  </si>
  <si>
    <r>
      <rPr>
        <b/>
        <vertAlign val="subscript"/>
        <sz val="11"/>
        <color theme="1"/>
        <rFont val="Arial Narrow"/>
        <family val="2"/>
      </rPr>
      <t>1</t>
    </r>
    <r>
      <rPr>
        <b/>
        <i/>
        <sz val="11"/>
        <color theme="1"/>
        <rFont val="Arial Narrow"/>
        <family val="2"/>
      </rPr>
      <t>q</t>
    </r>
    <r>
      <rPr>
        <b/>
        <vertAlign val="subscript"/>
        <sz val="11"/>
        <color theme="1"/>
        <rFont val="Arial Narrow"/>
        <family val="2"/>
      </rPr>
      <t>0</t>
    </r>
  </si>
  <si>
    <r>
      <rPr>
        <b/>
        <i/>
        <sz val="11"/>
        <color theme="1"/>
        <rFont val="Arial Narrow"/>
        <family val="2"/>
      </rPr>
      <t>l</t>
    </r>
    <r>
      <rPr>
        <b/>
        <sz val="11"/>
        <color theme="1"/>
        <rFont val="Arial Narrow"/>
        <family val="2"/>
      </rPr>
      <t>(15)</t>
    </r>
  </si>
  <si>
    <r>
      <rPr>
        <b/>
        <vertAlign val="subscript"/>
        <sz val="11"/>
        <color theme="1"/>
        <rFont val="Arial Narrow"/>
        <family val="2"/>
      </rPr>
      <t>20</t>
    </r>
    <r>
      <rPr>
        <b/>
        <i/>
        <sz val="11"/>
        <color theme="1"/>
        <rFont val="Arial Narrow"/>
        <family val="2"/>
      </rPr>
      <t>q</t>
    </r>
    <r>
      <rPr>
        <b/>
        <vertAlign val="subscript"/>
        <sz val="11"/>
        <color theme="1"/>
        <rFont val="Arial Narrow"/>
        <family val="2"/>
      </rPr>
      <t>60</t>
    </r>
  </si>
  <si>
    <t>本方法的阐述请参见</t>
  </si>
  <si>
    <t>用配对的儿童和成年人死亡率拟合模型生命表方法--应用说明</t>
  </si>
  <si>
    <t>下面是各种方法的数据输入。</t>
  </si>
  <si>
    <t>输入参数</t>
  </si>
  <si>
    <t>模型生命表</t>
  </si>
  <si>
    <t>国家和年份</t>
  </si>
  <si>
    <t>肯尼亚 c.1985</t>
  </si>
  <si>
    <r>
      <t xml:space="preserve">男性 </t>
    </r>
    <r>
      <rPr>
        <vertAlign val="subscript"/>
        <sz val="12"/>
        <rFont val="Arial"/>
        <family val="2"/>
      </rPr>
      <t>5</t>
    </r>
    <r>
      <rPr>
        <i/>
        <sz val="12"/>
        <rFont val="Arial"/>
        <family val="2"/>
      </rPr>
      <t>q</t>
    </r>
    <r>
      <rPr>
        <vertAlign val="subscript"/>
        <sz val="12"/>
        <rFont val="Arial"/>
        <family val="2"/>
      </rPr>
      <t>0</t>
    </r>
    <r>
      <rPr>
        <sz val="12"/>
        <rFont val="Arial"/>
        <family val="2"/>
      </rPr>
      <t xml:space="preserve"> </t>
    </r>
  </si>
  <si>
    <r>
      <t xml:space="preserve">女性 </t>
    </r>
    <r>
      <rPr>
        <vertAlign val="subscript"/>
        <sz val="12"/>
        <rFont val="Arial"/>
        <family val="2"/>
      </rPr>
      <t>5</t>
    </r>
    <r>
      <rPr>
        <i/>
        <sz val="12"/>
        <rFont val="Arial"/>
        <family val="2"/>
      </rPr>
      <t>q</t>
    </r>
    <r>
      <rPr>
        <vertAlign val="subscript"/>
        <sz val="12"/>
        <rFont val="Arial"/>
        <family val="2"/>
      </rPr>
      <t>0</t>
    </r>
  </si>
  <si>
    <t>指标</t>
  </si>
  <si>
    <t>成年人死亡率</t>
  </si>
  <si>
    <t>儿童死亡率</t>
  </si>
  <si>
    <t>选定模型生命表 (拼接法和布拉斯罗吉特法)</t>
  </si>
  <si>
    <t>在右边单元格内选定拟合中要用的模型生命表。</t>
  </si>
  <si>
    <t>输入下面儿童和成年人死亡率的国家和年份</t>
  </si>
  <si>
    <r>
      <t>选定拟合需要的成年人死亡率指标 (</t>
    </r>
    <r>
      <rPr>
        <vertAlign val="subscript"/>
        <sz val="12"/>
        <rFont val="Arial"/>
        <family val="2"/>
      </rPr>
      <t>35</t>
    </r>
    <r>
      <rPr>
        <i/>
        <sz val="12"/>
        <rFont val="Arial"/>
        <family val="2"/>
      </rPr>
      <t>q</t>
    </r>
    <r>
      <rPr>
        <vertAlign val="subscript"/>
        <sz val="12"/>
        <rFont val="Arial"/>
        <family val="2"/>
      </rPr>
      <t>15</t>
    </r>
    <r>
      <rPr>
        <sz val="12"/>
        <rFont val="Arial"/>
        <family val="2"/>
      </rPr>
      <t xml:space="preserve">, or </t>
    </r>
    <r>
      <rPr>
        <vertAlign val="subscript"/>
        <sz val="12"/>
        <rFont val="Arial"/>
        <family val="2"/>
      </rPr>
      <t>45</t>
    </r>
    <r>
      <rPr>
        <i/>
        <sz val="12"/>
        <rFont val="Arial"/>
        <family val="2"/>
      </rPr>
      <t>q</t>
    </r>
    <r>
      <rPr>
        <vertAlign val="subscript"/>
        <sz val="12"/>
        <rFont val="Arial"/>
        <family val="2"/>
      </rPr>
      <t>15</t>
    </r>
    <r>
      <rPr>
        <sz val="12"/>
        <rFont val="Arial"/>
        <family val="2"/>
      </rPr>
      <t>)。</t>
    </r>
  </si>
  <si>
    <r>
      <t>微软Excel电子工作表</t>
    </r>
    <r>
      <rPr>
        <b/>
        <i/>
        <sz val="11"/>
        <color theme="1"/>
        <rFont val="Arial Narrow"/>
        <family val="2"/>
      </rPr>
      <t>规划求解</t>
    </r>
    <r>
      <rPr>
        <b/>
        <sz val="11"/>
        <color theme="1"/>
        <rFont val="Arial Narrow"/>
        <family val="2"/>
      </rPr>
      <t>--应用指南</t>
    </r>
  </si>
  <si>
    <t>在用布拉斯罗吉特法、修正的罗吉特法和对数二次法拟合生命表时需要用到微软Excel电子工作表中的加载项—规划求解。</t>
  </si>
  <si>
    <t>在 Excel 2010 至 2016版中:</t>
  </si>
  <si>
    <t>步骤  1</t>
  </si>
  <si>
    <r>
      <t xml:space="preserve">在对话框下方，选定 </t>
    </r>
    <r>
      <rPr>
        <b/>
        <sz val="12"/>
        <color theme="1"/>
        <rFont val="Arial"/>
        <family val="2"/>
      </rPr>
      <t>管理Excel加载项</t>
    </r>
    <r>
      <rPr>
        <sz val="12"/>
        <color theme="1"/>
        <rFont val="Arial"/>
        <family val="2"/>
      </rPr>
      <t xml:space="preserve"> </t>
    </r>
    <r>
      <rPr>
        <sz val="12"/>
        <color theme="1"/>
        <rFont val="Symbol"/>
        <family val="1"/>
        <charset val="2"/>
      </rPr>
      <t>®</t>
    </r>
    <r>
      <rPr>
        <sz val="12"/>
        <color theme="1"/>
        <rFont val="Arial"/>
        <family val="2"/>
      </rPr>
      <t xml:space="preserve"> </t>
    </r>
    <r>
      <rPr>
        <b/>
        <sz val="12"/>
        <color theme="1"/>
        <rFont val="Arial"/>
        <family val="2"/>
      </rPr>
      <t>转到 。</t>
    </r>
  </si>
  <si>
    <r>
      <t>单击主菜单</t>
    </r>
    <r>
      <rPr>
        <b/>
        <sz val="12"/>
        <color theme="1"/>
        <rFont val="Arial"/>
        <family val="2"/>
      </rPr>
      <t>文件</t>
    </r>
    <r>
      <rPr>
        <sz val="12"/>
        <color theme="1"/>
        <rFont val="Arial"/>
        <family val="2"/>
      </rPr>
      <t xml:space="preserve"> </t>
    </r>
    <r>
      <rPr>
        <sz val="12"/>
        <color theme="1"/>
        <rFont val="Symbol"/>
        <family val="1"/>
        <charset val="2"/>
      </rPr>
      <t>®</t>
    </r>
    <r>
      <rPr>
        <sz val="12"/>
        <color theme="1"/>
        <rFont val="Arial"/>
        <family val="2"/>
      </rPr>
      <t xml:space="preserve"> </t>
    </r>
    <r>
      <rPr>
        <b/>
        <sz val="12"/>
        <color theme="1"/>
        <rFont val="Arial"/>
        <family val="2"/>
      </rPr>
      <t xml:space="preserve">选项 </t>
    </r>
    <r>
      <rPr>
        <sz val="12"/>
        <color theme="1"/>
        <rFont val="Symbol"/>
        <family val="1"/>
        <charset val="2"/>
      </rPr>
      <t>®</t>
    </r>
    <r>
      <rPr>
        <sz val="12"/>
        <color theme="1"/>
        <rFont val="Arial"/>
        <family val="2"/>
      </rPr>
      <t xml:space="preserve"> </t>
    </r>
    <r>
      <rPr>
        <b/>
        <sz val="12"/>
        <color theme="1"/>
        <rFont val="Arial"/>
        <family val="2"/>
      </rPr>
      <t>加载项。</t>
    </r>
  </si>
  <si>
    <t>步骤  2</t>
  </si>
  <si>
    <t>步骤  3</t>
  </si>
  <si>
    <t>步骤  4</t>
  </si>
  <si>
    <t>步骤  5</t>
  </si>
  <si>
    <t>步骤  7</t>
  </si>
  <si>
    <t>步骤  6</t>
  </si>
  <si>
    <t>(点击规划求解后，就会出现类似右边的一个对话框)</t>
  </si>
  <si>
    <t>本文件中，三种方法各自的工作表都注明了哪个单元格为目标单元格。</t>
  </si>
  <si>
    <t>选定需要优化的可变单元格。</t>
  </si>
  <si>
    <t>本文件中，三种方法各自的工作表都注明了哪个单元格为可变单元格。</t>
  </si>
  <si>
    <r>
      <t>点击</t>
    </r>
    <r>
      <rPr>
        <b/>
        <sz val="12"/>
        <color theme="1"/>
        <rFont val="Arial"/>
        <family val="2"/>
      </rPr>
      <t xml:space="preserve"> 求解</t>
    </r>
  </si>
  <si>
    <t>用拼接法合成的儿童和成年人生命表（拼接年龄为15岁）</t>
  </si>
  <si>
    <t>男性</t>
  </si>
  <si>
    <t>女性</t>
  </si>
  <si>
    <r>
      <t>α</t>
    </r>
    <r>
      <rPr>
        <b/>
        <sz val="10"/>
        <color theme="1"/>
        <rFont val="Arial"/>
        <family val="2"/>
      </rPr>
      <t xml:space="preserve"> (儿童)</t>
    </r>
  </si>
  <si>
    <r>
      <t>α</t>
    </r>
    <r>
      <rPr>
        <b/>
        <sz val="10"/>
        <color theme="1"/>
        <rFont val="Arial"/>
        <family val="2"/>
      </rPr>
      <t xml:space="preserve"> (成人)</t>
    </r>
  </si>
  <si>
    <r>
      <t>年龄 (</t>
    </r>
    <r>
      <rPr>
        <b/>
        <i/>
        <sz val="11"/>
        <color theme="1"/>
        <rFont val="Arial Narrow"/>
        <family val="2"/>
      </rPr>
      <t>x</t>
    </r>
    <r>
      <rPr>
        <b/>
        <sz val="11"/>
        <color theme="1"/>
        <rFont val="Arial Narrow"/>
        <family val="2"/>
      </rPr>
      <t>)</t>
    </r>
  </si>
  <si>
    <t>标准</t>
  </si>
  <si>
    <t>罗吉特值</t>
  </si>
  <si>
    <t>条件</t>
  </si>
  <si>
    <t>拟合的生命表</t>
  </si>
  <si>
    <t>布拉斯罗吉特关联模型生命表法</t>
  </si>
  <si>
    <t>步骤 1</t>
  </si>
  <si>
    <t>步骤 2</t>
  </si>
  <si>
    <t>步骤 3</t>
  </si>
  <si>
    <t>在右边绿色单元格内选定标准的模型生命表。</t>
  </si>
  <si>
    <t>若单元格为黑色</t>
  </si>
  <si>
    <t>，则表明规划求解没有执行或尚未找到解。</t>
  </si>
  <si>
    <r>
      <rPr>
        <b/>
        <sz val="11"/>
        <color theme="1"/>
        <rFont val="Arial Narrow"/>
        <family val="2"/>
      </rPr>
      <t xml:space="preserve"> 拟合的 </t>
    </r>
    <r>
      <rPr>
        <b/>
        <i/>
        <sz val="11"/>
        <color theme="1"/>
        <rFont val="Arial Narrow"/>
        <family val="2"/>
      </rPr>
      <t>l</t>
    </r>
    <r>
      <rPr>
        <b/>
        <i/>
        <vertAlign val="subscript"/>
        <sz val="11"/>
        <color theme="1"/>
        <rFont val="Arial Narrow"/>
        <family val="2"/>
      </rPr>
      <t>x</t>
    </r>
  </si>
  <si>
    <t>修正的罗吉特关联模型生命表法 (穆雷等 2003)</t>
  </si>
  <si>
    <t>系数</t>
  </si>
  <si>
    <t>拟合的</t>
  </si>
  <si>
    <t>年龄</t>
  </si>
  <si>
    <t>注：这些系数的符号与原文中的值正好相反。请参见本手册网站上的有关详细阐述。.</t>
  </si>
  <si>
    <r>
      <t>，则表明</t>
    </r>
    <r>
      <rPr>
        <i/>
        <sz val="11"/>
        <color theme="1"/>
        <rFont val="Arial Narrow"/>
        <family val="2"/>
      </rPr>
      <t>规划求解尚未</t>
    </r>
    <r>
      <rPr>
        <sz val="11"/>
        <color theme="1"/>
        <rFont val="Arial Narrow"/>
        <family val="2"/>
      </rPr>
      <t>执行或尚未找到解。</t>
    </r>
  </si>
  <si>
    <t>对数二次模型生命表法 (威尔姆斯等  2012)</t>
  </si>
  <si>
    <r>
      <rPr>
        <i/>
        <sz val="11"/>
        <color theme="1"/>
        <rFont val="Arial Narrow"/>
        <family val="2"/>
      </rPr>
      <t>用规划求解</t>
    </r>
    <r>
      <rPr>
        <sz val="11"/>
        <color theme="1"/>
        <rFont val="Arial Narrow"/>
        <family val="2"/>
      </rPr>
      <t xml:space="preserve">, 分别将 </t>
    </r>
    <r>
      <rPr>
        <b/>
        <sz val="11"/>
        <color theme="1"/>
        <rFont val="Arial Narrow"/>
        <family val="2"/>
      </rPr>
      <t>E10</t>
    </r>
    <r>
      <rPr>
        <sz val="11"/>
        <color theme="1"/>
        <rFont val="Arial Narrow"/>
        <family val="2"/>
      </rPr>
      <t xml:space="preserve"> 和</t>
    </r>
    <r>
      <rPr>
        <b/>
        <sz val="11"/>
        <color theme="1"/>
        <rFont val="Arial Narrow"/>
        <family val="2"/>
      </rPr>
      <t>I10</t>
    </r>
    <r>
      <rPr>
        <sz val="11"/>
        <color theme="1"/>
        <rFont val="Arial Narrow"/>
        <family val="2"/>
      </rPr>
      <t xml:space="preserve"> 设置为0，将 </t>
    </r>
    <r>
      <rPr>
        <b/>
        <sz val="11"/>
        <color theme="1"/>
        <rFont val="Arial Narrow"/>
        <family val="2"/>
      </rPr>
      <t>D10</t>
    </r>
    <r>
      <rPr>
        <sz val="11"/>
        <color theme="1"/>
        <rFont val="Arial Narrow"/>
        <family val="2"/>
      </rPr>
      <t xml:space="preserve"> 和 </t>
    </r>
    <r>
      <rPr>
        <b/>
        <sz val="11"/>
        <color theme="1"/>
        <rFont val="Arial Narrow"/>
        <family val="2"/>
      </rPr>
      <t>H10</t>
    </r>
    <r>
      <rPr>
        <sz val="11"/>
        <color theme="1"/>
        <rFont val="Arial Narrow"/>
        <family val="2"/>
      </rPr>
      <t xml:space="preserve"> 设置为可变单元格。</t>
    </r>
  </si>
  <si>
    <r>
      <t xml:space="preserve">拟合的 log </t>
    </r>
    <r>
      <rPr>
        <b/>
        <i/>
        <vertAlign val="subscript"/>
        <sz val="11"/>
        <color theme="1"/>
        <rFont val="Arial Narrow"/>
        <family val="2"/>
      </rPr>
      <t>n</t>
    </r>
    <r>
      <rPr>
        <b/>
        <i/>
        <sz val="11"/>
        <color theme="1"/>
        <rFont val="Arial Narrow"/>
        <family val="2"/>
      </rPr>
      <t>m</t>
    </r>
    <r>
      <rPr>
        <b/>
        <i/>
        <vertAlign val="subscript"/>
        <sz val="11"/>
        <color theme="1"/>
        <rFont val="Arial Narrow"/>
        <family val="2"/>
      </rPr>
      <t>x</t>
    </r>
  </si>
  <si>
    <t>概括性死亡率指标</t>
  </si>
  <si>
    <t>拼接法</t>
  </si>
  <si>
    <t xml:space="preserve">注: </t>
  </si>
  <si>
    <t>表中若显示 #NA, 则表明S规划求解尚未执行或者得到的结果不正确。</t>
  </si>
  <si>
    <r>
      <t xml:space="preserve">下图中只显示有正确解的 </t>
    </r>
    <r>
      <rPr>
        <vertAlign val="subscript"/>
        <sz val="10"/>
        <color theme="1"/>
        <rFont val="Arial"/>
        <family val="2"/>
      </rPr>
      <t>n</t>
    </r>
    <r>
      <rPr>
        <sz val="10"/>
        <color theme="1"/>
        <rFont val="Arial"/>
        <family val="2"/>
      </rPr>
      <t>m</t>
    </r>
    <r>
      <rPr>
        <vertAlign val="subscript"/>
        <sz val="10"/>
        <color theme="1"/>
        <rFont val="Arial"/>
        <family val="2"/>
      </rPr>
      <t>x。</t>
    </r>
  </si>
  <si>
    <t>年龄(x)</t>
  </si>
  <si>
    <t>男女合计</t>
  </si>
  <si>
    <t>普林斯顿北部</t>
  </si>
  <si>
    <t>普林斯顿南部</t>
  </si>
  <si>
    <t>普林斯顿东部</t>
  </si>
  <si>
    <t>普林斯顿西部</t>
  </si>
  <si>
    <t>联合国一般</t>
  </si>
  <si>
    <t>联合国拉美</t>
  </si>
  <si>
    <t>联合国智利</t>
  </si>
  <si>
    <t>联合国南亚</t>
  </si>
  <si>
    <t>联合国远东</t>
  </si>
  <si>
    <r>
      <t xml:space="preserve"> </t>
    </r>
    <r>
      <rPr>
        <b/>
        <i/>
        <sz val="11"/>
        <color theme="1"/>
        <rFont val="Arial Narrow"/>
        <family val="2"/>
      </rPr>
      <t>e</t>
    </r>
    <r>
      <rPr>
        <b/>
        <vertAlign val="subscript"/>
        <sz val="11"/>
        <color theme="1"/>
        <rFont val="Arial Narrow"/>
        <family val="2"/>
      </rPr>
      <t>0</t>
    </r>
    <r>
      <rPr>
        <b/>
        <sz val="11"/>
        <color theme="1"/>
        <rFont val="Arial Narrow"/>
        <family val="2"/>
      </rPr>
      <t>=60时，生命表的罗吉特值</t>
    </r>
  </si>
  <si>
    <t>注</t>
  </si>
  <si>
    <t>来源</t>
  </si>
  <si>
    <t>e0=60岁时各主要年龄0,1,5, 10….来自</t>
  </si>
  <si>
    <t>(2010年6月18日更新）</t>
  </si>
  <si>
    <r>
      <t xml:space="preserve">生命表中年龄2岁,3岁和4岁的 </t>
    </r>
    <r>
      <rPr>
        <b/>
        <i/>
        <sz val="11"/>
        <color theme="1"/>
        <rFont val="Arial Narrow"/>
        <family val="2"/>
      </rPr>
      <t>l</t>
    </r>
    <r>
      <rPr>
        <b/>
        <i/>
        <vertAlign val="subscript"/>
        <sz val="11"/>
        <color theme="1"/>
        <rFont val="Arial Narrow"/>
        <family val="2"/>
      </rPr>
      <t>x</t>
    </r>
    <r>
      <rPr>
        <b/>
        <sz val="11"/>
        <color theme="1"/>
        <rFont val="Arial Narrow"/>
        <family val="2"/>
      </rPr>
      <t>:</t>
    </r>
  </si>
  <si>
    <t>科尔-德曼尼模型生命表</t>
  </si>
  <si>
    <t>联合国模型生命表</t>
  </si>
  <si>
    <t>男女两性合一的生命表</t>
  </si>
  <si>
    <t>男女合一的生命表是基于e0=60岁时出生性别比假定为105的男女加权平均生命表。</t>
  </si>
  <si>
    <t>根据科尔、德曼尼和沃恩(1983:21)出版的等比例分离系数计算而得。</t>
  </si>
  <si>
    <t>根据联合国模型生命表(联合国 1982)1岁至5岁之间的死亡比例分布的等比分离系数计算而得。</t>
  </si>
  <si>
    <r>
      <t>一旦启用</t>
    </r>
    <r>
      <rPr>
        <i/>
        <sz val="12"/>
        <color theme="1"/>
        <rFont val="Arial"/>
        <family val="2"/>
      </rPr>
      <t>规划求解</t>
    </r>
    <r>
      <rPr>
        <sz val="12"/>
        <color theme="1"/>
        <rFont val="Arial"/>
        <family val="2"/>
      </rPr>
      <t>，即可按以下步骤对所选定的生命表指标值进行求解:</t>
    </r>
  </si>
  <si>
    <r>
      <t xml:space="preserve">在右边单元格内分别输入男女性的儿童死亡率 </t>
    </r>
    <r>
      <rPr>
        <vertAlign val="subscript"/>
        <sz val="12"/>
        <rFont val="Arial"/>
        <family val="2"/>
      </rPr>
      <t>5</t>
    </r>
    <r>
      <rPr>
        <i/>
        <sz val="12"/>
        <rFont val="Arial"/>
        <family val="2"/>
      </rPr>
      <t>q</t>
    </r>
    <r>
      <rPr>
        <vertAlign val="subscript"/>
        <sz val="12"/>
        <rFont val="Arial"/>
        <family val="2"/>
      </rPr>
      <t>0</t>
    </r>
    <r>
      <rPr>
        <sz val="12"/>
        <rFont val="Arial"/>
        <family val="2"/>
      </rPr>
      <t xml:space="preserve"> 。</t>
    </r>
  </si>
  <si>
    <t>本工作表示例了用配对的儿童和成年人死亡率拟合模型生命表的四种方法, 即拼接法、布拉斯罗吉特法、修订的罗吉特法和对数二次法。更为详细的内容请参阅以上网站。</t>
  </si>
  <si>
    <r>
      <t>除拼接法外，其他三种方法均需要用到Excel电子工作表中的</t>
    </r>
    <r>
      <rPr>
        <i/>
        <sz val="12"/>
        <rFont val="Arial"/>
        <family val="2"/>
      </rPr>
      <t>规划求解</t>
    </r>
    <r>
      <rPr>
        <sz val="12"/>
        <rFont val="Arial"/>
        <family val="2"/>
      </rPr>
      <t>函数来估计。如何使用</t>
    </r>
    <r>
      <rPr>
        <i/>
        <sz val="12"/>
        <rFont val="Arial"/>
        <family val="2"/>
      </rPr>
      <t>规划求解</t>
    </r>
    <r>
      <rPr>
        <sz val="12"/>
        <rFont val="Arial"/>
        <family val="2"/>
      </rPr>
      <t xml:space="preserve">函数，请参阅本文件 </t>
    </r>
    <r>
      <rPr>
        <b/>
        <i/>
        <sz val="12"/>
        <rFont val="Arial"/>
        <family val="2"/>
      </rPr>
      <t>Using Solver</t>
    </r>
    <r>
      <rPr>
        <sz val="12"/>
        <rFont val="Arial"/>
        <family val="2"/>
      </rPr>
      <t>工作表中的一般指南。</t>
    </r>
  </si>
  <si>
    <t>规划求解在Excel标准安装时，其功能没有被启用。它需要按以下步骤操作才能启用。</t>
  </si>
  <si>
    <r>
      <t>确保在</t>
    </r>
    <r>
      <rPr>
        <b/>
        <sz val="12"/>
        <color theme="1"/>
        <rFont val="Arial"/>
        <family val="2"/>
      </rPr>
      <t>规划求解</t>
    </r>
    <r>
      <rPr>
        <sz val="12"/>
        <color theme="1"/>
        <rFont val="Arial"/>
        <family val="2"/>
      </rPr>
      <t xml:space="preserve">左侧小方框打勾。点击 </t>
    </r>
    <r>
      <rPr>
        <b/>
        <sz val="12"/>
        <color theme="1"/>
        <rFont val="Arial"/>
        <family val="2"/>
      </rPr>
      <t>确定。</t>
    </r>
  </si>
  <si>
    <r>
      <t xml:space="preserve">单击主菜单 </t>
    </r>
    <r>
      <rPr>
        <b/>
        <sz val="12"/>
        <color theme="1"/>
        <rFont val="Arial"/>
        <family val="2"/>
      </rPr>
      <t>数据</t>
    </r>
    <r>
      <rPr>
        <sz val="12"/>
        <color theme="1"/>
        <rFont val="Arial"/>
        <family val="2"/>
      </rPr>
      <t xml:space="preserve"> </t>
    </r>
    <r>
      <rPr>
        <sz val="12"/>
        <color theme="1"/>
        <rFont val="Symbol"/>
        <family val="1"/>
        <charset val="2"/>
      </rPr>
      <t>®</t>
    </r>
    <r>
      <rPr>
        <sz val="12"/>
        <color theme="1"/>
        <rFont val="Arial"/>
        <family val="2"/>
      </rPr>
      <t xml:space="preserve"> </t>
    </r>
    <r>
      <rPr>
        <b/>
        <sz val="12"/>
        <color theme="1"/>
        <rFont val="Arial"/>
        <family val="2"/>
      </rPr>
      <t>规划求解</t>
    </r>
    <r>
      <rPr>
        <sz val="12"/>
        <color theme="1"/>
        <rFont val="Arial"/>
        <family val="2"/>
      </rPr>
      <t>.</t>
    </r>
    <r>
      <rPr>
        <b/>
        <sz val="12"/>
        <color theme="1"/>
        <rFont val="Arial"/>
        <family val="2"/>
      </rPr>
      <t xml:space="preserve"> </t>
    </r>
    <r>
      <rPr>
        <sz val="12"/>
        <color theme="1"/>
        <rFont val="Arial"/>
        <family val="2"/>
      </rPr>
      <t/>
    </r>
  </si>
  <si>
    <t>选定目标单元格 （即目标值拟设置为0的单元格）</t>
  </si>
  <si>
    <r>
      <t xml:space="preserve">用 </t>
    </r>
    <r>
      <rPr>
        <i/>
        <sz val="11"/>
        <color theme="1"/>
        <rFont val="Arial Narrow"/>
        <family val="2"/>
      </rPr>
      <t>规划求解</t>
    </r>
    <r>
      <rPr>
        <sz val="11"/>
        <color theme="1"/>
        <rFont val="Arial Narrow"/>
        <family val="2"/>
      </rPr>
      <t xml:space="preserve">, 分别将 </t>
    </r>
    <r>
      <rPr>
        <b/>
        <sz val="11"/>
        <color theme="1"/>
        <rFont val="Arial Narrow"/>
        <family val="2"/>
      </rPr>
      <t>E11</t>
    </r>
    <r>
      <rPr>
        <sz val="11"/>
        <color theme="1"/>
        <rFont val="Arial Narrow"/>
        <family val="2"/>
      </rPr>
      <t xml:space="preserve"> 和</t>
    </r>
    <r>
      <rPr>
        <b/>
        <sz val="11"/>
        <color theme="1"/>
        <rFont val="Arial Narrow"/>
        <family val="2"/>
      </rPr>
      <t>I11</t>
    </r>
    <r>
      <rPr>
        <sz val="11"/>
        <color theme="1"/>
        <rFont val="Arial Narrow"/>
        <family val="2"/>
      </rPr>
      <t xml:space="preserve"> 设置为0，</t>
    </r>
    <r>
      <rPr>
        <b/>
        <sz val="11"/>
        <color theme="1"/>
        <rFont val="Arial Narrow"/>
        <family val="2"/>
      </rPr>
      <t>D11</t>
    </r>
    <r>
      <rPr>
        <sz val="11"/>
        <color theme="1"/>
        <rFont val="Arial Narrow"/>
        <family val="2"/>
      </rPr>
      <t xml:space="preserve"> 和 </t>
    </r>
    <r>
      <rPr>
        <b/>
        <sz val="11"/>
        <color theme="1"/>
        <rFont val="Arial Narrow"/>
        <family val="2"/>
      </rPr>
      <t>H11</t>
    </r>
    <r>
      <rPr>
        <sz val="11"/>
        <color theme="1"/>
        <rFont val="Arial Narrow"/>
        <family val="2"/>
      </rPr>
      <t>设置为可变单元格</t>
    </r>
    <r>
      <rPr>
        <b/>
        <sz val="11"/>
        <color theme="1"/>
        <rFont val="Arial Narrow"/>
        <family val="2"/>
      </rPr>
      <t>。</t>
    </r>
  </si>
  <si>
    <r>
      <t xml:space="preserve">用 </t>
    </r>
    <r>
      <rPr>
        <i/>
        <sz val="11"/>
        <color theme="1"/>
        <rFont val="Arial Narrow"/>
        <family val="2"/>
      </rPr>
      <t>规划求解</t>
    </r>
    <r>
      <rPr>
        <sz val="11"/>
        <color theme="1"/>
        <rFont val="Arial Narrow"/>
        <family val="2"/>
      </rPr>
      <t>, 分别将 E11和 I11单元格设置为0，D11和 H11 为可变单元格。</t>
    </r>
  </si>
  <si>
    <t>布拉斯罗吉特法</t>
  </si>
  <si>
    <t>修正的  罗吉特法</t>
  </si>
  <si>
    <t>对数二次法</t>
  </si>
  <si>
    <t>布拉斯  罗吉特法</t>
  </si>
  <si>
    <t>修正的 罗吉特法</t>
  </si>
  <si>
    <r>
      <t xml:space="preserve">拟合的 </t>
    </r>
    <r>
      <rPr>
        <b/>
        <vertAlign val="subscript"/>
        <sz val="11"/>
        <color theme="1"/>
        <rFont val="Arial Narrow"/>
        <family val="2"/>
      </rPr>
      <t>n</t>
    </r>
    <r>
      <rPr>
        <b/>
        <sz val="11"/>
        <color theme="1"/>
        <rFont val="Arial Narrow"/>
        <family val="2"/>
      </rPr>
      <t>m</t>
    </r>
    <r>
      <rPr>
        <b/>
        <vertAlign val="subscript"/>
        <sz val="11"/>
        <color theme="1"/>
        <rFont val="Arial Narrow"/>
        <family val="2"/>
      </rPr>
      <t>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</si>
</sst>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
    <numFmt numFmtId="177" formatCode="0.00000"/>
    <numFmt numFmtId="178" formatCode="0.0"/>
    <numFmt numFmtId="179" formatCode="0.000"/>
    <numFmt numFmtId="180" formatCode="#,##0.0000"/>
  </numFmts>
  <fonts count="36" x14ac:knownFonts="1">
    <font>
      <sz val="10"/>
      <color theme="1"/>
      <name val="Arial"/>
      <family val="2"/>
    </font>
    <font>
      <vertAlign val="subscript"/>
      <sz val="10"/>
      <color theme="1"/>
      <name val="Arial"/>
      <family val="2"/>
    </font>
    <font>
      <sz val="10"/>
      <color theme="1"/>
      <name val="Arial"/>
      <family val="2"/>
    </font>
    <font>
      <sz val="10"/>
      <color rgb="FF006100"/>
      <name val="Arial"/>
      <family val="2"/>
    </font>
    <font>
      <sz val="10"/>
      <color rgb="FF9C6500"/>
      <name val="Arial"/>
      <family val="2"/>
    </font>
    <font>
      <b/>
      <sz val="11"/>
      <color theme="1"/>
      <name val="Arial Narrow"/>
      <family val="2"/>
    </font>
    <font>
      <b/>
      <i/>
      <sz val="11"/>
      <color theme="1"/>
      <name val="Arial Narrow"/>
      <family val="2"/>
    </font>
    <font>
      <b/>
      <vertAlign val="subscript"/>
      <sz val="11"/>
      <color theme="1"/>
      <name val="Arial Narrow"/>
      <family val="2"/>
    </font>
    <font>
      <sz val="11"/>
      <color rgb="FF9C6500"/>
      <name val="宋体"/>
      <family val="2"/>
      <scheme val="minor"/>
    </font>
    <font>
      <sz val="11"/>
      <color theme="1"/>
      <name val="Arial"/>
      <family val="2"/>
    </font>
    <font>
      <u/>
      <sz val="11"/>
      <color theme="10"/>
      <name val="宋体"/>
      <family val="2"/>
      <scheme val="minor"/>
    </font>
    <font>
      <u/>
      <sz val="10"/>
      <color theme="10"/>
      <name val="Arial"/>
      <family val="2"/>
    </font>
    <font>
      <b/>
      <i/>
      <vertAlign val="subscript"/>
      <sz val="11"/>
      <color theme="1"/>
      <name val="Arial Narrow"/>
      <family val="2"/>
    </font>
    <font>
      <sz val="10"/>
      <name val="Arial"/>
      <family val="2"/>
    </font>
    <font>
      <b/>
      <sz val="12"/>
      <name val="Arial"/>
      <family val="2"/>
    </font>
    <font>
      <sz val="12"/>
      <name val="Arial"/>
      <family val="2"/>
    </font>
    <font>
      <b/>
      <i/>
      <sz val="12"/>
      <name val="Arial"/>
      <family val="2"/>
    </font>
    <font>
      <i/>
      <sz val="12"/>
      <name val="Arial"/>
      <family val="2"/>
    </font>
    <font>
      <b/>
      <sz val="11"/>
      <color theme="1"/>
      <name val="Arial"/>
      <family val="2"/>
    </font>
    <font>
      <b/>
      <sz val="10"/>
      <color theme="1"/>
      <name val="Arial"/>
      <family val="2"/>
    </font>
    <font>
      <b/>
      <i/>
      <sz val="10"/>
      <color theme="1"/>
      <name val="Arial"/>
      <family val="2"/>
    </font>
    <font>
      <sz val="11"/>
      <color theme="1"/>
      <name val="Arial Narrow"/>
      <family val="2"/>
    </font>
    <font>
      <sz val="10"/>
      <color theme="9" tint="-0.499984740745262"/>
      <name val="Arial"/>
      <family val="2"/>
    </font>
    <font>
      <b/>
      <i/>
      <vertAlign val="subscript"/>
      <sz val="10"/>
      <color theme="1"/>
      <name val="Arial"/>
      <family val="2"/>
    </font>
    <font>
      <b/>
      <vertAlign val="subscript"/>
      <sz val="10"/>
      <color theme="1"/>
      <name val="Arial"/>
      <family val="2"/>
    </font>
    <font>
      <sz val="11"/>
      <color theme="6" tint="-0.499984740745262"/>
      <name val="Arial Narrow"/>
      <family val="2"/>
    </font>
    <font>
      <i/>
      <sz val="11"/>
      <color theme="1"/>
      <name val="Arial Narrow"/>
      <family val="2"/>
    </font>
    <font>
      <sz val="12"/>
      <color theme="1"/>
      <name val="Arial"/>
      <family val="2"/>
    </font>
    <font>
      <sz val="12"/>
      <color theme="6" tint="-0.499984740745262"/>
      <name val="Arial"/>
      <family val="2"/>
    </font>
    <font>
      <vertAlign val="subscript"/>
      <sz val="12"/>
      <name val="Arial"/>
      <family val="2"/>
    </font>
    <font>
      <b/>
      <sz val="12"/>
      <color theme="1"/>
      <name val="Arial"/>
      <family val="2"/>
    </font>
    <font>
      <sz val="12"/>
      <color theme="1"/>
      <name val="Symbol"/>
      <family val="1"/>
      <charset val="2"/>
    </font>
    <font>
      <sz val="9"/>
      <color indexed="81"/>
      <name val="Tahoma"/>
      <family val="2"/>
    </font>
    <font>
      <u/>
      <sz val="11"/>
      <color theme="10"/>
      <name val="Arial"/>
      <family val="2"/>
    </font>
    <font>
      <i/>
      <sz val="12"/>
      <color theme="1"/>
      <name val="Arial"/>
      <family val="2"/>
    </font>
    <font>
      <sz val="9"/>
      <name val="宋体"/>
      <family val="3"/>
      <charset val="134"/>
    </font>
  </fonts>
  <fills count="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EB9C"/>
        <bgColor indexed="64"/>
      </patternFill>
    </fill>
    <fill>
      <patternFill patternType="solid">
        <fgColor theme="2" tint="-0.749992370372631"/>
        <bgColor indexed="64"/>
      </patternFill>
    </fill>
  </fills>
  <borders count="20">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indexed="64"/>
      </left>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5">
    <xf numFmtId="0" fontId="0" fillId="0" borderId="0"/>
    <xf numFmtId="0" fontId="3" fillId="3" borderId="0" applyNumberFormat="0" applyBorder="0" applyAlignment="0" applyProtection="0"/>
    <xf numFmtId="0" fontId="4" fillId="4" borderId="0" applyNumberFormat="0" applyBorder="0" applyAlignment="0" applyProtection="0"/>
    <xf numFmtId="0" fontId="10" fillId="0" borderId="0" applyNumberFormat="0" applyFill="0" applyBorder="0" applyAlignment="0" applyProtection="0"/>
    <xf numFmtId="0" fontId="13" fillId="0" borderId="0"/>
  </cellStyleXfs>
  <cellXfs count="229">
    <xf numFmtId="0" fontId="0" fillId="0" borderId="0" xfId="0"/>
    <xf numFmtId="0" fontId="5" fillId="0" borderId="3" xfId="0" applyFont="1" applyBorder="1"/>
    <xf numFmtId="0" fontId="5" fillId="0" borderId="0" xfId="0" applyFont="1"/>
    <xf numFmtId="0" fontId="5" fillId="0" borderId="0" xfId="0" applyFont="1" applyAlignment="1">
      <alignment horizontal="center"/>
    </xf>
    <xf numFmtId="0" fontId="5" fillId="0" borderId="6" xfId="0" applyFont="1" applyBorder="1"/>
    <xf numFmtId="0" fontId="5" fillId="0" borderId="7" xfId="0" applyFont="1" applyBorder="1"/>
    <xf numFmtId="0" fontId="2" fillId="0" borderId="8" xfId="0" applyFont="1" applyBorder="1"/>
    <xf numFmtId="0" fontId="2" fillId="0" borderId="0" xfId="0" applyFont="1" applyBorder="1"/>
    <xf numFmtId="0" fontId="2" fillId="0" borderId="9" xfId="0" applyFont="1" applyBorder="1"/>
    <xf numFmtId="0" fontId="2" fillId="0" borderId="0" xfId="0" applyFont="1"/>
    <xf numFmtId="177" fontId="2" fillId="0" borderId="8" xfId="0" applyNumberFormat="1" applyFont="1" applyBorder="1"/>
    <xf numFmtId="177" fontId="2" fillId="0" borderId="0" xfId="0" applyNumberFormat="1" applyFont="1" applyBorder="1"/>
    <xf numFmtId="177" fontId="2" fillId="0" borderId="9" xfId="0" applyNumberFormat="1" applyFont="1" applyBorder="1"/>
    <xf numFmtId="177" fontId="2" fillId="0" borderId="0" xfId="0" applyNumberFormat="1" applyFont="1"/>
    <xf numFmtId="177" fontId="2" fillId="0" borderId="6" xfId="0" applyNumberFormat="1" applyFont="1" applyBorder="1"/>
    <xf numFmtId="177" fontId="2" fillId="0" borderId="3" xfId="0" applyNumberFormat="1" applyFont="1" applyBorder="1"/>
    <xf numFmtId="177" fontId="2" fillId="0" borderId="7" xfId="0" applyNumberFormat="1" applyFont="1" applyBorder="1"/>
    <xf numFmtId="0" fontId="9" fillId="0" borderId="3" xfId="0" applyFont="1" applyBorder="1"/>
    <xf numFmtId="0" fontId="9" fillId="0" borderId="0" xfId="0" applyFont="1"/>
    <xf numFmtId="0" fontId="11" fillId="0" borderId="0" xfId="3" applyFont="1" applyProtection="1">
      <protection locked="0"/>
    </xf>
    <xf numFmtId="0" fontId="11" fillId="0" borderId="0" xfId="3" applyFont="1"/>
    <xf numFmtId="0" fontId="0" fillId="0" borderId="0" xfId="0" applyFont="1"/>
    <xf numFmtId="0" fontId="13" fillId="0" borderId="0" xfId="4" applyFont="1"/>
    <xf numFmtId="0" fontId="15" fillId="0" borderId="0" xfId="4" applyFont="1"/>
    <xf numFmtId="0" fontId="13" fillId="0" borderId="0" xfId="4" applyFont="1" applyAlignment="1">
      <alignment wrapText="1"/>
    </xf>
    <xf numFmtId="0" fontId="15" fillId="0" borderId="0" xfId="4" applyFont="1" applyAlignment="1">
      <alignment vertical="top"/>
    </xf>
    <xf numFmtId="0" fontId="15" fillId="0" borderId="0" xfId="4" applyFont="1" applyAlignment="1">
      <alignment wrapText="1"/>
    </xf>
    <xf numFmtId="0" fontId="15" fillId="0" borderId="0" xfId="4" applyFont="1" applyAlignment="1">
      <alignment vertical="top" wrapText="1"/>
    </xf>
    <xf numFmtId="0" fontId="13" fillId="0" borderId="0" xfId="4" applyFont="1" applyAlignment="1">
      <alignment vertical="top"/>
    </xf>
    <xf numFmtId="0" fontId="15" fillId="0" borderId="0" xfId="4" applyFont="1" applyAlignment="1">
      <alignment horizontal="left" vertical="top" wrapText="1"/>
    </xf>
    <xf numFmtId="0" fontId="9" fillId="2" borderId="0" xfId="0" applyFont="1" applyFill="1"/>
    <xf numFmtId="0" fontId="9" fillId="2" borderId="0" xfId="0" applyFont="1" applyFill="1" applyAlignment="1">
      <alignment horizontal="right"/>
    </xf>
    <xf numFmtId="176" fontId="9" fillId="0" borderId="0" xfId="0" applyNumberFormat="1" applyFont="1"/>
    <xf numFmtId="0" fontId="9" fillId="0" borderId="0" xfId="0" applyFont="1" applyBorder="1"/>
    <xf numFmtId="0" fontId="18" fillId="2" borderId="1" xfId="0" applyFont="1" applyFill="1" applyBorder="1"/>
    <xf numFmtId="0" fontId="14" fillId="0" borderId="0" xfId="4" applyFont="1" applyAlignment="1">
      <alignment vertical="top"/>
    </xf>
    <xf numFmtId="0" fontId="9" fillId="2" borderId="0" xfId="0" applyFont="1" applyFill="1" applyBorder="1" applyAlignment="1">
      <alignment vertical="top"/>
    </xf>
    <xf numFmtId="0" fontId="20" fillId="0" borderId="0" xfId="0" applyFont="1" applyAlignment="1">
      <alignment horizontal="center"/>
    </xf>
    <xf numFmtId="0" fontId="21" fillId="0" borderId="0" xfId="0" applyFont="1"/>
    <xf numFmtId="0" fontId="21" fillId="2" borderId="0" xfId="0" applyFont="1" applyFill="1" applyAlignment="1">
      <alignment horizontal="right"/>
    </xf>
    <xf numFmtId="0" fontId="21" fillId="2" borderId="0" xfId="0" applyFont="1" applyFill="1"/>
    <xf numFmtId="176" fontId="5" fillId="2" borderId="1" xfId="0" applyNumberFormat="1" applyFont="1" applyFill="1" applyBorder="1" applyProtection="1">
      <protection locked="0"/>
    </xf>
    <xf numFmtId="0" fontId="5" fillId="2" borderId="1" xfId="0" applyFont="1" applyFill="1" applyBorder="1" applyAlignment="1">
      <alignment horizontal="center"/>
    </xf>
    <xf numFmtId="177" fontId="21" fillId="0" borderId="0" xfId="0" applyNumberFormat="1" applyFont="1"/>
    <xf numFmtId="0" fontId="5" fillId="2" borderId="3" xfId="0" applyFont="1" applyFill="1" applyBorder="1"/>
    <xf numFmtId="0" fontId="5" fillId="2" borderId="2" xfId="0" applyFont="1" applyFill="1" applyBorder="1" applyAlignment="1">
      <alignment horizontal="center"/>
    </xf>
    <xf numFmtId="0" fontId="5" fillId="2" borderId="3" xfId="0" applyFont="1" applyFill="1" applyBorder="1" applyAlignment="1">
      <alignment horizontal="center"/>
    </xf>
    <xf numFmtId="176" fontId="21" fillId="0" borderId="0" xfId="0" applyNumberFormat="1" applyFont="1"/>
    <xf numFmtId="0" fontId="5" fillId="2" borderId="1" xfId="0" applyFont="1" applyFill="1" applyBorder="1"/>
    <xf numFmtId="0" fontId="19" fillId="2" borderId="0" xfId="0" applyFont="1" applyFill="1" applyAlignment="1">
      <alignment horizontal="center"/>
    </xf>
    <xf numFmtId="0" fontId="0" fillId="2" borderId="0" xfId="0" applyFont="1" applyFill="1"/>
    <xf numFmtId="0" fontId="22" fillId="5" borderId="0" xfId="0" applyFont="1" applyFill="1"/>
    <xf numFmtId="177" fontId="0" fillId="2" borderId="0" xfId="0" applyNumberFormat="1" applyFont="1" applyFill="1" applyBorder="1"/>
    <xf numFmtId="176" fontId="0" fillId="2" borderId="0" xfId="0" applyNumberFormat="1" applyFont="1" applyFill="1"/>
    <xf numFmtId="176" fontId="22" fillId="5" borderId="0" xfId="0" applyNumberFormat="1" applyFont="1" applyFill="1"/>
    <xf numFmtId="177" fontId="0" fillId="2" borderId="0" xfId="0" applyNumberFormat="1" applyFont="1" applyFill="1"/>
    <xf numFmtId="176" fontId="22" fillId="5" borderId="0" xfId="0" applyNumberFormat="1" applyFont="1" applyFill="1" applyBorder="1"/>
    <xf numFmtId="176" fontId="0" fillId="2" borderId="0" xfId="0" applyNumberFormat="1" applyFont="1" applyFill="1" applyBorder="1"/>
    <xf numFmtId="0" fontId="19" fillId="2" borderId="3" xfId="0" applyFont="1" applyFill="1" applyBorder="1" applyAlignment="1">
      <alignment horizontal="center"/>
    </xf>
    <xf numFmtId="176" fontId="0" fillId="2" borderId="3" xfId="0" applyNumberFormat="1" applyFont="1" applyFill="1" applyBorder="1"/>
    <xf numFmtId="176" fontId="22" fillId="5" borderId="3" xfId="0" applyNumberFormat="1" applyFont="1" applyFill="1" applyBorder="1"/>
    <xf numFmtId="177" fontId="0" fillId="2" borderId="3" xfId="0" applyNumberFormat="1" applyFont="1" applyFill="1" applyBorder="1"/>
    <xf numFmtId="0" fontId="0" fillId="2" borderId="3" xfId="0" applyFont="1" applyFill="1" applyBorder="1"/>
    <xf numFmtId="0" fontId="0" fillId="2" borderId="0" xfId="0" applyFont="1" applyFill="1" applyAlignment="1"/>
    <xf numFmtId="3" fontId="0" fillId="2" borderId="0" xfId="0" applyNumberFormat="1" applyFont="1" applyFill="1" applyAlignment="1"/>
    <xf numFmtId="176" fontId="0" fillId="2" borderId="0" xfId="0" applyNumberFormat="1" applyFont="1" applyFill="1" applyAlignment="1"/>
    <xf numFmtId="180" fontId="0" fillId="2" borderId="0" xfId="0" applyNumberFormat="1" applyFont="1" applyFill="1" applyAlignment="1"/>
    <xf numFmtId="176" fontId="0" fillId="2" borderId="3" xfId="0" applyNumberFormat="1" applyFont="1" applyFill="1" applyBorder="1" applyAlignment="1"/>
    <xf numFmtId="180" fontId="0" fillId="2" borderId="3" xfId="0" applyNumberFormat="1" applyFont="1" applyFill="1" applyBorder="1" applyAlignment="1"/>
    <xf numFmtId="0" fontId="19" fillId="2" borderId="1" xfId="0" applyFont="1" applyFill="1" applyBorder="1"/>
    <xf numFmtId="0" fontId="0" fillId="2" borderId="1" xfId="0" applyFont="1" applyFill="1" applyBorder="1"/>
    <xf numFmtId="0" fontId="19" fillId="2" borderId="3" xfId="0" applyFont="1" applyFill="1" applyBorder="1"/>
    <xf numFmtId="176" fontId="19" fillId="2" borderId="0" xfId="0" applyNumberFormat="1" applyFont="1" applyFill="1" applyBorder="1" applyProtection="1">
      <protection locked="0"/>
    </xf>
    <xf numFmtId="0" fontId="19" fillId="2" borderId="0" xfId="0" applyFont="1" applyFill="1" applyBorder="1" applyAlignment="1">
      <alignment horizontal="right"/>
    </xf>
    <xf numFmtId="176" fontId="0" fillId="2" borderId="1" xfId="0" applyNumberFormat="1" applyFont="1" applyFill="1" applyBorder="1" applyProtection="1">
      <protection locked="0"/>
    </xf>
    <xf numFmtId="0" fontId="0" fillId="2" borderId="0" xfId="0" applyFont="1" applyFill="1" applyBorder="1"/>
    <xf numFmtId="176" fontId="19" fillId="2" borderId="0" xfId="0" applyNumberFormat="1" applyFont="1" applyFill="1" applyBorder="1"/>
    <xf numFmtId="0" fontId="20" fillId="2" borderId="0" xfId="0" applyFont="1" applyFill="1" applyBorder="1" applyAlignment="1">
      <alignment horizontal="right"/>
    </xf>
    <xf numFmtId="176" fontId="0" fillId="2" borderId="0" xfId="0" applyNumberFormat="1" applyFont="1" applyFill="1" applyBorder="1" applyProtection="1">
      <protection locked="0"/>
    </xf>
    <xf numFmtId="0" fontId="0" fillId="2" borderId="0" xfId="0" applyFont="1" applyFill="1" applyBorder="1" applyAlignment="1">
      <alignment horizontal="center"/>
    </xf>
    <xf numFmtId="177" fontId="0" fillId="0" borderId="0" xfId="0" applyNumberFormat="1" applyFont="1"/>
    <xf numFmtId="0" fontId="19" fillId="2" borderId="0" xfId="0" applyFont="1" applyFill="1"/>
    <xf numFmtId="176" fontId="22" fillId="5" borderId="10" xfId="0" applyNumberFormat="1" applyFont="1" applyFill="1" applyBorder="1"/>
    <xf numFmtId="0" fontId="19" fillId="2" borderId="3" xfId="0" applyFont="1" applyFill="1" applyBorder="1" applyAlignment="1">
      <alignment horizontal="right"/>
    </xf>
    <xf numFmtId="176" fontId="0" fillId="2" borderId="3" xfId="0" applyNumberFormat="1" applyFont="1" applyFill="1" applyBorder="1" applyProtection="1">
      <protection locked="0"/>
    </xf>
    <xf numFmtId="0" fontId="5" fillId="2" borderId="3" xfId="0" applyFont="1" applyFill="1" applyBorder="1" applyAlignment="1" applyProtection="1">
      <alignment horizontal="center" wrapText="1"/>
    </xf>
    <xf numFmtId="178" fontId="6" fillId="2" borderId="2" xfId="0" applyNumberFormat="1" applyFont="1" applyFill="1" applyBorder="1" applyAlignment="1" applyProtection="1">
      <alignment horizontal="center" wrapText="1"/>
    </xf>
    <xf numFmtId="0" fontId="21" fillId="2" borderId="1" xfId="0" applyFont="1" applyFill="1" applyBorder="1" applyAlignment="1">
      <alignment horizontal="center"/>
    </xf>
    <xf numFmtId="176" fontId="0" fillId="2" borderId="1" xfId="0" applyNumberFormat="1" applyFont="1" applyFill="1" applyBorder="1" applyProtection="1"/>
    <xf numFmtId="176" fontId="0" fillId="2" borderId="0" xfId="0" applyNumberFormat="1" applyFont="1" applyFill="1" applyBorder="1" applyProtection="1"/>
    <xf numFmtId="0" fontId="19" fillId="2" borderId="0" xfId="0" applyFont="1" applyFill="1" applyBorder="1" applyAlignment="1">
      <alignment horizontal="center"/>
    </xf>
    <xf numFmtId="0" fontId="20" fillId="0" borderId="0" xfId="0" applyFont="1" applyAlignment="1">
      <alignment horizontal="right"/>
    </xf>
    <xf numFmtId="0" fontId="0" fillId="2" borderId="0" xfId="0" applyFont="1" applyFill="1" applyProtection="1"/>
    <xf numFmtId="0" fontId="20" fillId="2" borderId="0" xfId="0" applyFont="1" applyFill="1" applyBorder="1" applyAlignment="1">
      <alignment horizontal="center"/>
    </xf>
    <xf numFmtId="0" fontId="19" fillId="2" borderId="3" xfId="0" applyFont="1" applyFill="1" applyBorder="1" applyAlignment="1" applyProtection="1">
      <alignment horizontal="center"/>
    </xf>
    <xf numFmtId="0" fontId="19" fillId="2" borderId="0" xfId="0" applyFont="1" applyFill="1" applyBorder="1" applyAlignment="1" applyProtection="1">
      <alignment horizontal="center"/>
    </xf>
    <xf numFmtId="178" fontId="22" fillId="5" borderId="0" xfId="0" applyNumberFormat="1" applyFont="1" applyFill="1" applyProtection="1"/>
    <xf numFmtId="178" fontId="20" fillId="2" borderId="3" xfId="0" applyNumberFormat="1" applyFont="1" applyFill="1" applyBorder="1" applyAlignment="1" applyProtection="1">
      <alignment horizontal="center"/>
    </xf>
    <xf numFmtId="176" fontId="0" fillId="2" borderId="3" xfId="0" applyNumberFormat="1" applyFont="1" applyFill="1" applyBorder="1" applyProtection="1"/>
    <xf numFmtId="0" fontId="19" fillId="2" borderId="0" xfId="0" applyFont="1" applyFill="1" applyAlignment="1" applyProtection="1">
      <alignment horizontal="center"/>
    </xf>
    <xf numFmtId="0" fontId="0" fillId="2" borderId="0" xfId="0" applyFont="1" applyFill="1" applyAlignment="1" applyProtection="1">
      <alignment horizontal="center"/>
    </xf>
    <xf numFmtId="0" fontId="22" fillId="5" borderId="0" xfId="0" applyFont="1" applyFill="1" applyProtection="1"/>
    <xf numFmtId="176" fontId="22" fillId="5" borderId="0" xfId="0" applyNumberFormat="1" applyFont="1" applyFill="1" applyBorder="1" applyProtection="1"/>
    <xf numFmtId="0" fontId="0" fillId="2" borderId="0" xfId="0" applyFont="1" applyFill="1" applyBorder="1" applyProtection="1"/>
    <xf numFmtId="176" fontId="0" fillId="0" borderId="0" xfId="0" applyNumberFormat="1" applyFont="1"/>
    <xf numFmtId="176" fontId="22" fillId="5" borderId="3" xfId="0" applyNumberFormat="1" applyFont="1" applyFill="1" applyBorder="1" applyProtection="1"/>
    <xf numFmtId="0" fontId="0" fillId="2" borderId="3" xfId="0" applyFont="1" applyFill="1" applyBorder="1" applyProtection="1"/>
    <xf numFmtId="179" fontId="25" fillId="3" borderId="13" xfId="1" applyNumberFormat="1" applyFont="1" applyBorder="1" applyAlignment="1" applyProtection="1">
      <protection locked="0"/>
    </xf>
    <xf numFmtId="176" fontId="22" fillId="5" borderId="14" xfId="0" applyNumberFormat="1" applyFont="1" applyFill="1" applyBorder="1" applyProtection="1">
      <protection locked="0"/>
    </xf>
    <xf numFmtId="178" fontId="22" fillId="5" borderId="3" xfId="0" applyNumberFormat="1" applyFont="1" applyFill="1" applyBorder="1"/>
    <xf numFmtId="178" fontId="5" fillId="2" borderId="2" xfId="0" applyNumberFormat="1" applyFont="1" applyFill="1" applyBorder="1" applyAlignment="1" applyProtection="1">
      <alignment horizontal="center" wrapText="1"/>
      <protection locked="0"/>
    </xf>
    <xf numFmtId="1" fontId="19" fillId="2" borderId="0" xfId="0" applyNumberFormat="1" applyFont="1" applyFill="1" applyBorder="1" applyAlignment="1">
      <alignment horizontal="center"/>
    </xf>
    <xf numFmtId="1" fontId="0" fillId="2" borderId="0" xfId="0" applyNumberFormat="1" applyFont="1" applyFill="1"/>
    <xf numFmtId="1" fontId="0" fillId="2" borderId="3" xfId="0" applyNumberFormat="1" applyFont="1" applyFill="1" applyBorder="1"/>
    <xf numFmtId="1" fontId="19" fillId="2" borderId="3" xfId="0" applyNumberFormat="1" applyFont="1" applyFill="1" applyBorder="1" applyAlignment="1">
      <alignment horizontal="center"/>
    </xf>
    <xf numFmtId="0" fontId="5" fillId="0" borderId="1" xfId="0" applyFont="1" applyBorder="1"/>
    <xf numFmtId="0" fontId="6" fillId="2" borderId="3" xfId="0" applyFont="1" applyFill="1" applyBorder="1" applyAlignment="1">
      <alignment horizontal="center"/>
    </xf>
    <xf numFmtId="176" fontId="0" fillId="2" borderId="1" xfId="0" applyNumberFormat="1" applyFont="1" applyFill="1" applyBorder="1"/>
    <xf numFmtId="0" fontId="0" fillId="2" borderId="0" xfId="0" applyFont="1" applyFill="1" applyAlignment="1">
      <alignment horizontal="center"/>
    </xf>
    <xf numFmtId="0" fontId="15" fillId="0" borderId="11" xfId="4" applyFont="1" applyBorder="1" applyAlignment="1">
      <alignment horizontal="right"/>
    </xf>
    <xf numFmtId="0" fontId="15" fillId="0" borderId="11" xfId="4" applyFont="1" applyBorder="1"/>
    <xf numFmtId="0" fontId="15" fillId="0" borderId="17" xfId="4" applyFont="1" applyBorder="1" applyAlignment="1">
      <alignment wrapText="1"/>
    </xf>
    <xf numFmtId="0" fontId="15" fillId="0" borderId="18" xfId="4" applyFont="1" applyBorder="1" applyAlignment="1">
      <alignment horizontal="right"/>
    </xf>
    <xf numFmtId="0" fontId="5" fillId="0" borderId="2" xfId="0" applyFont="1" applyBorder="1"/>
    <xf numFmtId="0" fontId="27" fillId="2" borderId="11" xfId="0" applyFont="1" applyFill="1" applyBorder="1" applyAlignment="1">
      <alignment vertical="top"/>
    </xf>
    <xf numFmtId="0" fontId="27" fillId="2" borderId="17" xfId="0" applyFont="1" applyFill="1" applyBorder="1" applyAlignment="1">
      <alignment vertical="top"/>
    </xf>
    <xf numFmtId="176" fontId="28" fillId="3" borderId="17" xfId="1" applyNumberFormat="1" applyFont="1" applyBorder="1" applyAlignment="1" applyProtection="1">
      <alignment vertical="top"/>
      <protection locked="0"/>
    </xf>
    <xf numFmtId="0" fontId="15" fillId="0" borderId="17" xfId="4" applyFont="1" applyBorder="1"/>
    <xf numFmtId="176" fontId="28" fillId="3" borderId="19" xfId="1" applyNumberFormat="1" applyFont="1" applyBorder="1" applyAlignment="1" applyProtection="1">
      <alignment vertical="top"/>
      <protection locked="0"/>
    </xf>
    <xf numFmtId="0" fontId="15" fillId="0" borderId="0" xfId="4" applyFont="1" applyAlignment="1">
      <alignment vertical="top" wrapText="1"/>
    </xf>
    <xf numFmtId="0" fontId="5" fillId="0" borderId="2" xfId="0" applyFont="1" applyBorder="1" applyAlignment="1">
      <alignment horizontal="center"/>
    </xf>
    <xf numFmtId="179" fontId="28" fillId="3" borderId="17" xfId="1" applyNumberFormat="1" applyFont="1" applyBorder="1" applyAlignment="1" applyProtection="1">
      <alignment horizontal="right"/>
      <protection locked="0"/>
    </xf>
    <xf numFmtId="0" fontId="27" fillId="0" borderId="0" xfId="0" applyFont="1"/>
    <xf numFmtId="0" fontId="27" fillId="0" borderId="0" xfId="0" quotePrefix="1" applyFont="1"/>
    <xf numFmtId="176" fontId="0" fillId="0" borderId="0" xfId="0" applyNumberFormat="1"/>
    <xf numFmtId="176" fontId="0" fillId="2" borderId="0" xfId="0" applyNumberFormat="1" applyFont="1" applyFill="1" applyBorder="1" applyAlignment="1"/>
    <xf numFmtId="0" fontId="27" fillId="2" borderId="11" xfId="0" applyFont="1" applyFill="1" applyBorder="1" applyAlignment="1">
      <alignment horizontal="right" vertical="top"/>
    </xf>
    <xf numFmtId="176" fontId="28" fillId="3" borderId="17" xfId="1" applyNumberFormat="1" applyFont="1" applyBorder="1" applyAlignment="1" applyProtection="1">
      <alignment horizontal="right" vertical="top"/>
      <protection locked="0"/>
    </xf>
    <xf numFmtId="178" fontId="22" fillId="5" borderId="3" xfId="0" applyNumberFormat="1" applyFont="1" applyFill="1" applyBorder="1" applyProtection="1">
      <protection locked="0"/>
    </xf>
    <xf numFmtId="1" fontId="22" fillId="5" borderId="0" xfId="0" applyNumberFormat="1" applyFont="1" applyFill="1" applyBorder="1" applyProtection="1">
      <protection locked="0"/>
    </xf>
    <xf numFmtId="177" fontId="0" fillId="2" borderId="1" xfId="0" applyNumberFormat="1" applyFont="1" applyFill="1" applyBorder="1" applyProtection="1">
      <protection locked="0"/>
    </xf>
    <xf numFmtId="176" fontId="22" fillId="5" borderId="0" xfId="0" applyNumberFormat="1" applyFont="1" applyFill="1" applyBorder="1" applyProtection="1">
      <protection locked="0"/>
    </xf>
    <xf numFmtId="177" fontId="0" fillId="2" borderId="0" xfId="0" applyNumberFormat="1" applyFont="1" applyFill="1" applyProtection="1">
      <protection locked="0"/>
    </xf>
    <xf numFmtId="176" fontId="22" fillId="5" borderId="3" xfId="0" applyNumberFormat="1" applyFont="1" applyFill="1" applyBorder="1" applyProtection="1">
      <protection locked="0"/>
    </xf>
    <xf numFmtId="177" fontId="0" fillId="2" borderId="3" xfId="0" applyNumberFormat="1" applyFont="1" applyFill="1" applyBorder="1" applyProtection="1">
      <protection locked="0"/>
    </xf>
    <xf numFmtId="0" fontId="21" fillId="2" borderId="0" xfId="0" applyFont="1" applyFill="1" applyProtection="1">
      <protection locked="0"/>
    </xf>
    <xf numFmtId="0" fontId="21" fillId="0" borderId="0" xfId="0" applyFont="1" applyProtection="1">
      <protection locked="0"/>
    </xf>
    <xf numFmtId="0" fontId="21" fillId="2" borderId="0" xfId="0" applyFont="1" applyFill="1" applyAlignment="1" applyProtection="1">
      <alignment horizontal="right"/>
      <protection locked="0"/>
    </xf>
    <xf numFmtId="0" fontId="21" fillId="2" borderId="12" xfId="0" applyFont="1" applyFill="1" applyBorder="1" applyProtection="1">
      <protection locked="0"/>
    </xf>
    <xf numFmtId="0" fontId="21" fillId="6" borderId="0" xfId="0" applyFont="1" applyFill="1" applyProtection="1">
      <protection locked="0"/>
    </xf>
    <xf numFmtId="0" fontId="21" fillId="2" borderId="1"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0" fillId="2" borderId="0" xfId="0" applyFont="1" applyFill="1" applyProtection="1">
      <protection locked="0"/>
    </xf>
    <xf numFmtId="0" fontId="19" fillId="2" borderId="0" xfId="0" applyFont="1" applyFill="1" applyBorder="1" applyAlignment="1" applyProtection="1">
      <alignment horizontal="right"/>
      <protection locked="0"/>
    </xf>
    <xf numFmtId="0" fontId="0" fillId="2" borderId="0" xfId="0" applyFont="1" applyFill="1" applyBorder="1" applyProtection="1">
      <protection locked="0"/>
    </xf>
    <xf numFmtId="0" fontId="0" fillId="0" borderId="0" xfId="0" applyFont="1" applyProtection="1">
      <protection locked="0"/>
    </xf>
    <xf numFmtId="0" fontId="20" fillId="2" borderId="0" xfId="0" applyFont="1" applyFill="1" applyBorder="1" applyAlignment="1" applyProtection="1">
      <alignment horizontal="right"/>
      <protection locked="0"/>
    </xf>
    <xf numFmtId="177" fontId="0" fillId="0" borderId="0" xfId="0" applyNumberFormat="1" applyFont="1" applyProtection="1">
      <protection locked="0"/>
    </xf>
    <xf numFmtId="0" fontId="0" fillId="2" borderId="0" xfId="0" applyFont="1" applyFill="1" applyBorder="1" applyAlignment="1" applyProtection="1">
      <alignment horizontal="center"/>
      <protection locked="0"/>
    </xf>
    <xf numFmtId="178" fontId="20" fillId="2" borderId="3" xfId="0" applyNumberFormat="1" applyFont="1" applyFill="1" applyBorder="1" applyAlignment="1" applyProtection="1">
      <alignment horizontal="center"/>
      <protection locked="0"/>
    </xf>
    <xf numFmtId="0" fontId="0" fillId="2" borderId="3" xfId="0" applyFont="1" applyFill="1" applyBorder="1" applyProtection="1">
      <protection locked="0"/>
    </xf>
    <xf numFmtId="0" fontId="5" fillId="2" borderId="3" xfId="0" applyFont="1" applyFill="1" applyBorder="1" applyAlignment="1" applyProtection="1">
      <alignment horizontal="center" wrapText="1"/>
      <protection locked="0"/>
    </xf>
    <xf numFmtId="0" fontId="6" fillId="2" borderId="3" xfId="0" applyFont="1" applyFill="1" applyBorder="1" applyAlignment="1" applyProtection="1">
      <alignment horizontal="center" wrapText="1"/>
      <protection locked="0"/>
    </xf>
    <xf numFmtId="0" fontId="21" fillId="0" borderId="0" xfId="0" applyFont="1" applyAlignment="1" applyProtection="1">
      <alignment horizontal="center"/>
      <protection locked="0"/>
    </xf>
    <xf numFmtId="177" fontId="21" fillId="0" borderId="0" xfId="0" applyNumberFormat="1" applyFont="1" applyAlignment="1" applyProtection="1">
      <alignment horizontal="center"/>
      <protection locked="0"/>
    </xf>
    <xf numFmtId="0" fontId="19" fillId="2" borderId="0" xfId="0" applyFont="1" applyFill="1" applyAlignment="1" applyProtection="1">
      <alignment horizontal="center"/>
      <protection locked="0"/>
    </xf>
    <xf numFmtId="0" fontId="0" fillId="2" borderId="0" xfId="0" applyFont="1" applyFill="1" applyAlignment="1" applyProtection="1">
      <alignment horizontal="center"/>
      <protection locked="0"/>
    </xf>
    <xf numFmtId="0" fontId="19" fillId="2" borderId="0" xfId="0" applyFont="1" applyFill="1" applyBorder="1" applyAlignment="1" applyProtection="1">
      <alignment horizontal="center"/>
      <protection locked="0"/>
    </xf>
    <xf numFmtId="176" fontId="0" fillId="0" borderId="0" xfId="0" applyNumberFormat="1" applyFont="1" applyProtection="1">
      <protection locked="0"/>
    </xf>
    <xf numFmtId="0" fontId="19" fillId="2" borderId="3" xfId="0" applyFont="1" applyFill="1" applyBorder="1" applyAlignment="1" applyProtection="1">
      <alignment horizontal="center"/>
      <protection locked="0"/>
    </xf>
    <xf numFmtId="176" fontId="21" fillId="0" borderId="0" xfId="0" applyNumberFormat="1" applyFont="1" applyProtection="1">
      <protection locked="0"/>
    </xf>
    <xf numFmtId="178" fontId="0" fillId="2" borderId="0" xfId="0" applyNumberFormat="1" applyFont="1" applyFill="1" applyBorder="1"/>
    <xf numFmtId="0" fontId="22" fillId="5" borderId="0" xfId="0" applyFont="1" applyFill="1" applyBorder="1"/>
    <xf numFmtId="0" fontId="19" fillId="2" borderId="0" xfId="0" applyFont="1" applyFill="1" applyAlignment="1">
      <alignment horizontal="right"/>
    </xf>
    <xf numFmtId="0" fontId="5" fillId="0" borderId="2" xfId="0" applyFont="1" applyBorder="1" applyAlignment="1">
      <alignment horizontal="center" wrapText="1"/>
    </xf>
    <xf numFmtId="178" fontId="0" fillId="0" borderId="0" xfId="0" applyNumberFormat="1"/>
    <xf numFmtId="176" fontId="0" fillId="0" borderId="3" xfId="0" applyNumberFormat="1" applyBorder="1"/>
    <xf numFmtId="0" fontId="5" fillId="0" borderId="3" xfId="0" applyFont="1" applyBorder="1" applyAlignment="1">
      <alignment horizontal="center"/>
    </xf>
    <xf numFmtId="0" fontId="0" fillId="0" borderId="0" xfId="0" applyFont="1" applyFill="1" applyBorder="1"/>
    <xf numFmtId="0" fontId="19" fillId="2" borderId="3" xfId="0" applyFont="1" applyFill="1" applyBorder="1" applyAlignment="1">
      <alignment horizontal="center"/>
    </xf>
    <xf numFmtId="179" fontId="28" fillId="3" borderId="17" xfId="1" applyNumberFormat="1" applyFont="1" applyBorder="1" applyAlignment="1" applyProtection="1">
      <alignment horizontal="right" vertical="top"/>
      <protection locked="0"/>
    </xf>
    <xf numFmtId="0" fontId="19" fillId="2" borderId="0" xfId="0" applyFont="1" applyFill="1" applyBorder="1" applyAlignment="1" applyProtection="1">
      <alignment horizontal="center" wrapText="1"/>
      <protection locked="0"/>
    </xf>
    <xf numFmtId="0" fontId="20" fillId="2" borderId="0" xfId="0" applyFont="1" applyFill="1" applyBorder="1" applyAlignment="1" applyProtection="1">
      <alignment horizontal="center" wrapText="1"/>
      <protection locked="0"/>
    </xf>
    <xf numFmtId="0" fontId="5" fillId="2" borderId="1" xfId="0" applyFont="1" applyFill="1" applyBorder="1" applyAlignment="1" applyProtection="1">
      <alignment horizontal="center" wrapText="1"/>
      <protection locked="0"/>
    </xf>
    <xf numFmtId="0" fontId="6" fillId="2" borderId="3" xfId="0" applyFont="1" applyFill="1" applyBorder="1" applyAlignment="1" applyProtection="1">
      <alignment horizontal="center" wrapText="1"/>
    </xf>
    <xf numFmtId="0" fontId="21" fillId="2" borderId="3" xfId="0" applyFont="1" applyFill="1" applyBorder="1" applyAlignment="1" applyProtection="1">
      <alignment horizontal="center"/>
      <protection locked="0"/>
    </xf>
    <xf numFmtId="0" fontId="19" fillId="2" borderId="3" xfId="0" applyFont="1" applyFill="1" applyBorder="1" applyAlignment="1" applyProtection="1">
      <alignment horizontal="right"/>
      <protection locked="0"/>
    </xf>
    <xf numFmtId="0" fontId="5" fillId="0" borderId="1" xfId="0" applyFont="1" applyBorder="1" applyAlignment="1">
      <alignment horizontal="center" wrapText="1"/>
    </xf>
    <xf numFmtId="0" fontId="19" fillId="2" borderId="0" xfId="0" applyFont="1" applyFill="1" applyBorder="1"/>
    <xf numFmtId="176" fontId="22" fillId="2" borderId="10" xfId="0" applyNumberFormat="1" applyFont="1" applyFill="1" applyBorder="1"/>
    <xf numFmtId="0" fontId="5" fillId="0" borderId="2" xfId="0" applyFont="1" applyBorder="1" applyAlignment="1">
      <alignment horizontal="center"/>
    </xf>
    <xf numFmtId="0" fontId="5" fillId="2" borderId="0" xfId="0" applyFont="1" applyFill="1" applyAlignment="1" applyProtection="1">
      <alignment horizontal="center"/>
      <protection locked="0"/>
    </xf>
    <xf numFmtId="0" fontId="5" fillId="0" borderId="3" xfId="0" applyFont="1" applyBorder="1" applyAlignment="1">
      <alignment horizontal="right"/>
    </xf>
    <xf numFmtId="178" fontId="5" fillId="2" borderId="2" xfId="0" applyNumberFormat="1" applyFont="1" applyFill="1" applyBorder="1" applyAlignment="1" applyProtection="1">
      <alignment horizontal="center" wrapText="1"/>
    </xf>
    <xf numFmtId="0" fontId="14" fillId="0" borderId="0" xfId="4" applyFont="1" applyAlignment="1">
      <alignment vertical="top" wrapText="1"/>
    </xf>
    <xf numFmtId="0" fontId="15" fillId="0" borderId="0" xfId="4" applyFont="1" applyAlignment="1">
      <alignment vertical="top" wrapText="1"/>
    </xf>
    <xf numFmtId="0" fontId="14" fillId="5" borderId="4" xfId="4" applyFont="1" applyFill="1" applyBorder="1" applyAlignment="1">
      <alignment horizontal="center"/>
    </xf>
    <xf numFmtId="0" fontId="14" fillId="5" borderId="5" xfId="4" applyFont="1" applyFill="1" applyBorder="1" applyAlignment="1">
      <alignment horizontal="center"/>
    </xf>
    <xf numFmtId="0" fontId="15" fillId="0" borderId="0" xfId="4" applyFont="1" applyFill="1" applyAlignment="1">
      <alignment horizontal="left"/>
    </xf>
    <xf numFmtId="0" fontId="15" fillId="0" borderId="0" xfId="4" applyFont="1" applyAlignment="1">
      <alignment horizontal="left" vertical="top" wrapText="1"/>
    </xf>
    <xf numFmtId="0" fontId="30" fillId="2" borderId="15" xfId="0" applyFont="1" applyFill="1" applyBorder="1" applyAlignment="1">
      <alignment horizontal="center" vertical="top"/>
    </xf>
    <xf numFmtId="0" fontId="0" fillId="0" borderId="16" xfId="0" applyBorder="1" applyAlignment="1"/>
    <xf numFmtId="0" fontId="33" fillId="0" borderId="11" xfId="3" applyNumberFormat="1" applyFont="1" applyFill="1" applyBorder="1" applyAlignment="1" applyProtection="1">
      <alignment horizontal="left"/>
      <protection locked="0"/>
    </xf>
    <xf numFmtId="0" fontId="33" fillId="0" borderId="0" xfId="3" applyNumberFormat="1" applyFont="1" applyFill="1" applyBorder="1" applyAlignment="1" applyProtection="1">
      <alignment horizontal="left"/>
      <protection locked="0"/>
    </xf>
    <xf numFmtId="0" fontId="9" fillId="0" borderId="0" xfId="0" applyFont="1" applyAlignment="1"/>
    <xf numFmtId="0" fontId="5" fillId="5" borderId="4" xfId="0" applyFont="1" applyFill="1" applyBorder="1" applyAlignment="1">
      <alignment horizontal="center"/>
    </xf>
    <xf numFmtId="0" fontId="5" fillId="5" borderId="2" xfId="0" applyFont="1" applyFill="1" applyBorder="1" applyAlignment="1">
      <alignment horizontal="center"/>
    </xf>
    <xf numFmtId="0" fontId="5" fillId="5" borderId="5" xfId="0" applyFont="1" applyFill="1" applyBorder="1" applyAlignment="1">
      <alignment horizontal="center"/>
    </xf>
    <xf numFmtId="0" fontId="27" fillId="0" borderId="0" xfId="0" applyFont="1" applyAlignment="1">
      <alignment horizontal="left" vertical="top" wrapText="1"/>
    </xf>
    <xf numFmtId="0" fontId="5" fillId="2" borderId="2" xfId="0" applyFont="1" applyFill="1" applyBorder="1" applyAlignment="1">
      <alignment horizontal="center"/>
    </xf>
    <xf numFmtId="0" fontId="5" fillId="0" borderId="2" xfId="0" applyFont="1" applyBorder="1" applyAlignment="1"/>
    <xf numFmtId="0" fontId="5" fillId="0" borderId="2" xfId="0" applyFont="1" applyBorder="1" applyAlignment="1">
      <alignment horizontal="center"/>
    </xf>
    <xf numFmtId="0" fontId="5" fillId="5" borderId="8" xfId="0" applyFont="1" applyFill="1" applyBorder="1" applyAlignment="1">
      <alignment horizontal="center"/>
    </xf>
    <xf numFmtId="0" fontId="5" fillId="5" borderId="0" xfId="0" applyFont="1" applyFill="1" applyBorder="1" applyAlignment="1">
      <alignment horizontal="center"/>
    </xf>
    <xf numFmtId="0" fontId="5" fillId="2" borderId="2" xfId="0" applyFont="1" applyFill="1" applyBorder="1" applyAlignment="1" applyProtection="1">
      <alignment horizontal="center" wrapText="1"/>
      <protection locked="0"/>
    </xf>
    <xf numFmtId="0" fontId="5" fillId="5" borderId="0"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0" fontId="5" fillId="0" borderId="2" xfId="0" applyFont="1" applyBorder="1" applyAlignment="1" applyProtection="1">
      <protection locked="0"/>
    </xf>
    <xf numFmtId="0" fontId="5" fillId="0" borderId="2" xfId="0" applyFont="1" applyBorder="1" applyAlignment="1" applyProtection="1">
      <alignment horizontal="center"/>
      <protection locked="0"/>
    </xf>
    <xf numFmtId="0" fontId="21" fillId="2" borderId="0" xfId="0" applyFont="1" applyFill="1" applyAlignment="1" applyProtection="1">
      <alignment horizontal="left"/>
      <protection locked="0"/>
    </xf>
    <xf numFmtId="0" fontId="0" fillId="2" borderId="0" xfId="0" applyFont="1" applyFill="1" applyBorder="1" applyAlignment="1">
      <alignment horizontal="center"/>
    </xf>
    <xf numFmtId="0" fontId="21" fillId="2" borderId="1" xfId="0" applyFont="1" applyFill="1" applyBorder="1" applyAlignment="1">
      <alignment horizontal="left" vertical="top" wrapText="1"/>
    </xf>
    <xf numFmtId="0" fontId="21" fillId="2" borderId="0" xfId="0" applyFont="1" applyFill="1" applyBorder="1" applyAlignment="1">
      <alignment horizontal="left" vertical="top" wrapText="1"/>
    </xf>
    <xf numFmtId="0" fontId="19" fillId="2" borderId="3" xfId="0" applyFont="1" applyFill="1" applyBorder="1" applyAlignment="1">
      <alignment horizontal="center"/>
    </xf>
    <xf numFmtId="0" fontId="9" fillId="2" borderId="0" xfId="0" applyFont="1" applyFill="1" applyAlignment="1">
      <alignment horizontal="left"/>
    </xf>
    <xf numFmtId="0" fontId="0" fillId="0" borderId="5" xfId="0" applyBorder="1" applyAlignment="1">
      <alignment horizontal="center"/>
    </xf>
    <xf numFmtId="0" fontId="8" fillId="4" borderId="4" xfId="2" applyFont="1" applyBorder="1" applyAlignment="1">
      <alignment horizontal="center"/>
    </xf>
    <xf numFmtId="0" fontId="8" fillId="4" borderId="2" xfId="2" applyFont="1" applyBorder="1" applyAlignment="1">
      <alignment horizontal="center"/>
    </xf>
    <xf numFmtId="0" fontId="8" fillId="4" borderId="5" xfId="2" applyFont="1" applyBorder="1" applyAlignment="1">
      <alignment horizontal="center"/>
    </xf>
  </cellXfs>
  <cellStyles count="5">
    <cellStyle name="Good" xfId="1" builtinId="26"/>
    <cellStyle name="Hyperlink" xfId="3" builtinId="8"/>
    <cellStyle name="Neutral" xfId="2" builtinId="28"/>
    <cellStyle name="Normal" xfId="0" builtinId="0"/>
    <cellStyle name="Normal 3 2 2" xfId="4"/>
  </cellStyles>
  <dxfs count="6">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9" defaultPivotStyle="PivotStyleLight16"/>
  <colors>
    <mruColors>
      <color rgb="FFFFEB9C"/>
      <color rgb="FFD7E6E6"/>
      <color rgb="FFC034C0"/>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Splicing!$M$4</c:f>
          <c:strCache>
            <c:ptCount val="1"/>
            <c:pt idx="0">
              <c:v>拟合的肯尼亚 c.1985生命表  - 拼接法</c:v>
            </c:pt>
          </c:strCache>
        </c:strRef>
      </c:tx>
      <c:overlay val="0"/>
    </c:title>
    <c:autoTitleDeleted val="0"/>
    <c:plotArea>
      <c:layout>
        <c:manualLayout>
          <c:layoutTarget val="inner"/>
          <c:xMode val="edge"/>
          <c:yMode val="edge"/>
          <c:x val="0.24722878228782308"/>
          <c:y val="0.12227996446631144"/>
          <c:w val="0.7073528085280858"/>
          <c:h val="0.69783210332103318"/>
        </c:manualLayout>
      </c:layout>
      <c:scatterChart>
        <c:scatterStyle val="lineMarker"/>
        <c:varyColors val="0"/>
        <c:ser>
          <c:idx val="0"/>
          <c:order val="0"/>
          <c:tx>
            <c:v>女性</c:v>
          </c:tx>
          <c:spPr>
            <a:ln>
              <a:solidFill>
                <a:srgbClr val="C034C0"/>
              </a:solidFill>
            </a:ln>
          </c:spPr>
          <c:marker>
            <c:symbol val="none"/>
          </c:marker>
          <c:xVal>
            <c:numRef>
              <c:f>Splicing!$A$12:$A$35</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Splicing!$K$12:$K$35</c:f>
              <c:numCache>
                <c:formatCode>0.00000</c:formatCode>
                <c:ptCount val="24"/>
                <c:pt idx="0">
                  <c:v>7.6817734171350877E-2</c:v>
                </c:pt>
                <c:pt idx="1">
                  <c:v>9.0584609760103411E-3</c:v>
                </c:pt>
                <c:pt idx="2">
                  <c:v>2.3209384403589488E-3</c:v>
                </c:pt>
                <c:pt idx="3">
                  <c:v>1.8225708126943805E-3</c:v>
                </c:pt>
                <c:pt idx="4">
                  <c:v>1.3904958088144423E-3</c:v>
                </c:pt>
                <c:pt idx="5">
                  <c:v>1.8484001784005804E-3</c:v>
                </c:pt>
                <c:pt idx="6">
                  <c:v>2.1378388611891161E-3</c:v>
                </c:pt>
                <c:pt idx="7">
                  <c:v>2.4844867744238945E-3</c:v>
                </c:pt>
                <c:pt idx="8">
                  <c:v>2.9219346368819002E-3</c:v>
                </c:pt>
                <c:pt idx="9">
                  <c:v>3.5281198223472408E-3</c:v>
                </c:pt>
                <c:pt idx="10">
                  <c:v>4.50931796325866E-3</c:v>
                </c:pt>
                <c:pt idx="11">
                  <c:v>6.3763339571665878E-3</c:v>
                </c:pt>
                <c:pt idx="12">
                  <c:v>9.1827800948150583E-3</c:v>
                </c:pt>
                <c:pt idx="13">
                  <c:v>1.4600816449754032E-2</c:v>
                </c:pt>
                <c:pt idx="14">
                  <c:v>2.3658822313461812E-2</c:v>
                </c:pt>
                <c:pt idx="15">
                  <c:v>4.1019689849049586E-2</c:v>
                </c:pt>
                <c:pt idx="16">
                  <c:v>7.2453656902796329E-2</c:v>
                </c:pt>
                <c:pt idx="17">
                  <c:v>0.12753747323135634</c:v>
                </c:pt>
                <c:pt idx="18">
                  <c:v>0.2103330837326238</c:v>
                </c:pt>
                <c:pt idx="19">
                  <c:v>0.31055097017121219</c:v>
                </c:pt>
                <c:pt idx="20">
                  <c:v>0.43340259530090286</c:v>
                </c:pt>
                <c:pt idx="21">
                  <c:v>0.50842026210781877</c:v>
                </c:pt>
                <c:pt idx="22">
                  <c:v>0.54949962338715852</c:v>
                </c:pt>
                <c:pt idx="23">
                  <c:v>0.59389811659118275</c:v>
                </c:pt>
              </c:numCache>
            </c:numRef>
          </c:yVal>
          <c:smooth val="0"/>
          <c:extLst>
            <c:ext xmlns:c16="http://schemas.microsoft.com/office/drawing/2014/chart" uri="{C3380CC4-5D6E-409C-BE32-E72D297353CC}">
              <c16:uniqueId val="{00000000-A72E-449B-AD1F-0722EFC1DD08}"/>
            </c:ext>
          </c:extLst>
        </c:ser>
        <c:ser>
          <c:idx val="1"/>
          <c:order val="1"/>
          <c:tx>
            <c:v>男性</c:v>
          </c:tx>
          <c:spPr>
            <a:ln>
              <a:solidFill>
                <a:srgbClr val="0070C0"/>
              </a:solidFill>
            </a:ln>
          </c:spPr>
          <c:marker>
            <c:symbol val="none"/>
          </c:marker>
          <c:xVal>
            <c:numRef>
              <c:f>Splicing!$A$12:$A$35</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Splicing!$F$12:$F$35</c:f>
              <c:numCache>
                <c:formatCode>0.00000</c:formatCode>
                <c:ptCount val="24"/>
                <c:pt idx="0">
                  <c:v>9.1476227923835723E-2</c:v>
                </c:pt>
                <c:pt idx="1">
                  <c:v>8.095198140918955E-3</c:v>
                </c:pt>
                <c:pt idx="2">
                  <c:v>2.3397966408769781E-3</c:v>
                </c:pt>
                <c:pt idx="3">
                  <c:v>1.780968195441848E-3</c:v>
                </c:pt>
                <c:pt idx="4">
                  <c:v>1.824591305148268E-3</c:v>
                </c:pt>
                <c:pt idx="5">
                  <c:v>2.6093117209247483E-3</c:v>
                </c:pt>
                <c:pt idx="6">
                  <c:v>2.7462509149051087E-3</c:v>
                </c:pt>
                <c:pt idx="7">
                  <c:v>3.111115010125144E-3</c:v>
                </c:pt>
                <c:pt idx="8">
                  <c:v>3.8888538202553713E-3</c:v>
                </c:pt>
                <c:pt idx="9">
                  <c:v>5.2154750027624628E-3</c:v>
                </c:pt>
                <c:pt idx="10">
                  <c:v>7.3082071831008164E-3</c:v>
                </c:pt>
                <c:pt idx="11">
                  <c:v>1.0739017444557693E-2</c:v>
                </c:pt>
                <c:pt idx="12">
                  <c:v>1.6073032465832731E-2</c:v>
                </c:pt>
                <c:pt idx="13">
                  <c:v>2.466963645568148E-2</c:v>
                </c:pt>
                <c:pt idx="14">
                  <c:v>3.7964470083016615E-2</c:v>
                </c:pt>
                <c:pt idx="15">
                  <c:v>5.994514682808242E-2</c:v>
                </c:pt>
                <c:pt idx="16">
                  <c:v>9.638333484988143E-2</c:v>
                </c:pt>
                <c:pt idx="17">
                  <c:v>0.152888449858299</c:v>
                </c:pt>
                <c:pt idx="18">
                  <c:v>0.23696849555958779</c:v>
                </c:pt>
                <c:pt idx="19">
                  <c:v>0.33842736189941619</c:v>
                </c:pt>
                <c:pt idx="20">
                  <c:v>0.46306568497169875</c:v>
                </c:pt>
                <c:pt idx="21">
                  <c:v>0.51982891134795062</c:v>
                </c:pt>
                <c:pt idx="22">
                  <c:v>0.54667570548770705</c:v>
                </c:pt>
                <c:pt idx="23">
                  <c:v>0.57490901418994422</c:v>
                </c:pt>
              </c:numCache>
            </c:numRef>
          </c:yVal>
          <c:smooth val="0"/>
          <c:extLst>
            <c:ext xmlns:c16="http://schemas.microsoft.com/office/drawing/2014/chart" uri="{C3380CC4-5D6E-409C-BE32-E72D297353CC}">
              <c16:uniqueId val="{00000001-A72E-449B-AD1F-0722EFC1DD08}"/>
            </c:ext>
          </c:extLst>
        </c:ser>
        <c:dLbls>
          <c:showLegendKey val="0"/>
          <c:showVal val="0"/>
          <c:showCatName val="0"/>
          <c:showSerName val="0"/>
          <c:showPercent val="0"/>
          <c:showBubbleSize val="0"/>
        </c:dLbls>
        <c:axId val="165420416"/>
        <c:axId val="167747584"/>
      </c:scatterChart>
      <c:valAx>
        <c:axId val="165420416"/>
        <c:scaling>
          <c:orientation val="minMax"/>
          <c:max val="105"/>
          <c:min val="0"/>
        </c:scaling>
        <c:delete val="0"/>
        <c:axPos val="b"/>
        <c:title>
          <c:tx>
            <c:rich>
              <a:bodyPr/>
              <a:lstStyle/>
              <a:p>
                <a:pPr>
                  <a:defRPr/>
                </a:pPr>
                <a:r>
                  <a:rPr lang="zh-CN" altLang="en-US"/>
                  <a:t>年龄</a:t>
                </a:r>
                <a:endParaRPr lang="en-US"/>
              </a:p>
            </c:rich>
          </c:tx>
          <c:overlay val="0"/>
        </c:title>
        <c:numFmt formatCode="General" sourceLinked="1"/>
        <c:majorTickMark val="out"/>
        <c:minorTickMark val="none"/>
        <c:tickLblPos val="nextTo"/>
        <c:crossAx val="167747584"/>
        <c:crossesAt val="1.0000000000000056E-4"/>
        <c:crossBetween val="midCat"/>
        <c:majorUnit val="10"/>
      </c:valAx>
      <c:valAx>
        <c:axId val="167747584"/>
        <c:scaling>
          <c:logBase val="10"/>
          <c:orientation val="minMax"/>
          <c:max val="1"/>
          <c:min val="1.0000000000000032E-4"/>
        </c:scaling>
        <c:delete val="0"/>
        <c:axPos val="l"/>
        <c:majorGridlines>
          <c:spPr>
            <a:ln>
              <a:solidFill>
                <a:schemeClr val="bg1">
                  <a:lumMod val="85000"/>
                </a:schemeClr>
              </a:solidFill>
            </a:ln>
          </c:spPr>
        </c:majorGridlines>
        <c:title>
          <c:tx>
            <c:rich>
              <a:bodyPr rot="0" vert="horz" anchor="t" anchorCtr="0"/>
              <a:lstStyle/>
              <a:p>
                <a:pPr>
                  <a:defRPr/>
                </a:pPr>
                <a:r>
                  <a:rPr lang="en-US" i="1" baseline="-25000"/>
                  <a:t>n</a:t>
                </a:r>
                <a:r>
                  <a:rPr lang="en-US" i="1"/>
                  <a:t>m</a:t>
                </a:r>
                <a:r>
                  <a:rPr lang="en-US" i="1" baseline="-25000"/>
                  <a:t>x</a:t>
                </a:r>
              </a:p>
            </c:rich>
          </c:tx>
          <c:layout>
            <c:manualLayout>
              <c:xMode val="edge"/>
              <c:yMode val="edge"/>
              <c:x val="1.5621156211562128E-2"/>
              <c:y val="0.4527339858275452"/>
            </c:manualLayout>
          </c:layout>
          <c:overlay val="0"/>
        </c:title>
        <c:numFmt formatCode="0.0000" sourceLinked="0"/>
        <c:majorTickMark val="out"/>
        <c:minorTickMark val="none"/>
        <c:tickLblPos val="nextTo"/>
        <c:crossAx val="165420416"/>
        <c:crossesAt val="0"/>
        <c:crossBetween val="midCat"/>
      </c:valAx>
    </c:plotArea>
    <c:legend>
      <c:legendPos val="b"/>
      <c:overlay val="0"/>
    </c:legend>
    <c:plotVisOnly val="1"/>
    <c:dispBlanksAs val="gap"/>
    <c:showDLblsOverMax val="0"/>
  </c:chart>
  <c:spPr>
    <a:solidFill>
      <a:srgbClr val="D7E6E6"/>
    </a:solidFill>
  </c:spPr>
  <c:txPr>
    <a:bodyPr/>
    <a:lstStyle/>
    <a:p>
      <a:pPr>
        <a:defRPr sz="1200">
          <a:latin typeface="Verdana" panose="020B0604030504040204" pitchFamily="34" charset="0"/>
          <a:ea typeface="Verdana" panose="020B0604030504040204" pitchFamily="34" charset="0"/>
          <a:cs typeface="Verdana" panose="020B0604030504040204" pitchFamily="34" charset="0"/>
        </a:defRPr>
      </a:pPr>
      <a:endParaRPr lang="zh-CN"/>
    </a:p>
  </c:txPr>
  <c:printSettings>
    <c:headerFooter/>
    <c:pageMargins b="0.75000000000000255" l="0.70000000000000062" r="0.70000000000000062" t="0.750000000000002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'Brass logit'!$M$7</c:f>
          <c:strCache>
            <c:ptCount val="1"/>
            <c:pt idx="0">
              <c:v>拟合的肯尼亚 c.1985生命表- 布拉斯罗吉特法</c:v>
            </c:pt>
          </c:strCache>
        </c:strRef>
      </c:tx>
      <c:overlay val="0"/>
    </c:title>
    <c:autoTitleDeleted val="0"/>
    <c:plotArea>
      <c:layout>
        <c:manualLayout>
          <c:layoutTarget val="inner"/>
          <c:xMode val="edge"/>
          <c:yMode val="edge"/>
          <c:x val="0.24722878228782308"/>
          <c:y val="0.12227996446631144"/>
          <c:w val="0.7073528085280858"/>
          <c:h val="0.69783210332103318"/>
        </c:manualLayout>
      </c:layout>
      <c:scatterChart>
        <c:scatterStyle val="lineMarker"/>
        <c:varyColors val="0"/>
        <c:ser>
          <c:idx val="0"/>
          <c:order val="0"/>
          <c:tx>
            <c:v>女性</c:v>
          </c:tx>
          <c:spPr>
            <a:ln>
              <a:solidFill>
                <a:srgbClr val="C034C0"/>
              </a:solidFill>
            </a:ln>
          </c:spPr>
          <c:marker>
            <c:symbol val="none"/>
          </c:marker>
          <c:xVal>
            <c:numRef>
              <c:f>'Brass logit'!$A$15:$A$38</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'Brass logit'!$I$15:$I$38</c:f>
              <c:numCache>
                <c:formatCode>0.00000</c:formatCode>
                <c:ptCount val="24"/>
                <c:pt idx="0">
                  <c:v>8.6309244277688837E-2</c:v>
                </c:pt>
                <c:pt idx="1">
                  <c:v>6.6170091284510736E-3</c:v>
                </c:pt>
                <c:pt idx="2">
                  <c:v>1.5885756365736257E-3</c:v>
                </c:pt>
                <c:pt idx="3">
                  <c:v>1.2182623938639093E-3</c:v>
                </c:pt>
                <c:pt idx="4">
                  <c:v>1.7485319110044158E-3</c:v>
                </c:pt>
                <c:pt idx="5">
                  <c:v>2.241931871301288E-3</c:v>
                </c:pt>
                <c:pt idx="6">
                  <c:v>2.492112848505687E-3</c:v>
                </c:pt>
                <c:pt idx="7">
                  <c:v>2.7806749121978241E-3</c:v>
                </c:pt>
                <c:pt idx="8">
                  <c:v>3.1360770577368671E-3</c:v>
                </c:pt>
                <c:pt idx="9">
                  <c:v>3.6248748304145112E-3</c:v>
                </c:pt>
                <c:pt idx="10">
                  <c:v>4.4204107197393858E-3</c:v>
                </c:pt>
                <c:pt idx="11">
                  <c:v>5.9241532511639236E-3</c:v>
                </c:pt>
                <c:pt idx="12">
                  <c:v>8.0152020970764189E-3</c:v>
                </c:pt>
                <c:pt idx="13">
                  <c:v>1.1840552069247823E-2</c:v>
                </c:pt>
                <c:pt idx="14">
                  <c:v>1.7645872343019568E-2</c:v>
                </c:pt>
                <c:pt idx="15">
                  <c:v>2.8035464094136025E-2</c:v>
                </c:pt>
                <c:pt idx="16">
                  <c:v>4.5917755543836404E-2</c:v>
                </c:pt>
                <c:pt idx="17">
                  <c:v>7.8350673340179158E-2</c:v>
                </c:pt>
                <c:pt idx="18">
                  <c:v>0.13367833289032238</c:v>
                </c:pt>
                <c:pt idx="19">
                  <c:v>0.2144356968865466</c:v>
                </c:pt>
                <c:pt idx="20">
                  <c:v>0.32035744850972137</c:v>
                </c:pt>
                <c:pt idx="21">
                  <c:v>0.39533984963032204</c:v>
                </c:pt>
                <c:pt idx="22">
                  <c:v>0.42925939322068191</c:v>
                </c:pt>
                <c:pt idx="23">
                  <c:v>0.46608918084147327</c:v>
                </c:pt>
              </c:numCache>
            </c:numRef>
          </c:yVal>
          <c:smooth val="0"/>
          <c:extLst>
            <c:ext xmlns:c16="http://schemas.microsoft.com/office/drawing/2014/chart" uri="{C3380CC4-5D6E-409C-BE32-E72D297353CC}">
              <c16:uniqueId val="{00000000-F11D-4501-B153-17FFE3916D9B}"/>
            </c:ext>
          </c:extLst>
        </c:ser>
        <c:ser>
          <c:idx val="1"/>
          <c:order val="1"/>
          <c:tx>
            <c:v>男性</c:v>
          </c:tx>
          <c:spPr>
            <a:ln>
              <a:solidFill>
                <a:srgbClr val="0070C0"/>
              </a:solidFill>
            </a:ln>
          </c:spPr>
          <c:marker>
            <c:symbol val="none"/>
          </c:marker>
          <c:xVal>
            <c:numRef>
              <c:f>'Brass logit'!$A$15:$A$38</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'Brass logit'!$E$15:$E$38</c:f>
              <c:numCache>
                <c:formatCode>0.00000</c:formatCode>
                <c:ptCount val="24"/>
                <c:pt idx="0">
                  <c:v>9.7248246596197435E-2</c:v>
                </c:pt>
                <c:pt idx="1">
                  <c:v>6.6135783683970795E-3</c:v>
                </c:pt>
                <c:pt idx="2">
                  <c:v>1.8453209264539432E-3</c:v>
                </c:pt>
                <c:pt idx="3">
                  <c:v>1.3845780367812493E-3</c:v>
                </c:pt>
                <c:pt idx="4">
                  <c:v>2.1782456686383518E-3</c:v>
                </c:pt>
                <c:pt idx="5">
                  <c:v>3.0365624123393038E-3</c:v>
                </c:pt>
                <c:pt idx="6">
                  <c:v>3.1090131165615463E-3</c:v>
                </c:pt>
                <c:pt idx="7">
                  <c:v>3.4290257229973994E-3</c:v>
                </c:pt>
                <c:pt idx="8">
                  <c:v>4.1666666604990117E-3</c:v>
                </c:pt>
                <c:pt idx="9">
                  <c:v>5.4117919774420145E-3</c:v>
                </c:pt>
                <c:pt idx="10">
                  <c:v>7.3049197121493794E-3</c:v>
                </c:pt>
                <c:pt idx="11">
                  <c:v>1.0272548707849482E-2</c:v>
                </c:pt>
                <c:pt idx="12">
                  <c:v>1.4617827323008268E-2</c:v>
                </c:pt>
                <c:pt idx="13">
                  <c:v>2.1228197140564984E-2</c:v>
                </c:pt>
                <c:pt idx="14">
                  <c:v>3.0924062581717825E-2</c:v>
                </c:pt>
                <c:pt idx="15">
                  <c:v>4.6619716972574769E-2</c:v>
                </c:pt>
                <c:pt idx="16">
                  <c:v>7.2912895246468337E-2</c:v>
                </c:pt>
                <c:pt idx="17">
                  <c:v>0.11617891117482292</c:v>
                </c:pt>
                <c:pt idx="18">
                  <c:v>0.18643530570377062</c:v>
                </c:pt>
                <c:pt idx="19">
                  <c:v>0.27971367152842053</c:v>
                </c:pt>
                <c:pt idx="20">
                  <c:v>0.39681490550159731</c:v>
                </c:pt>
                <c:pt idx="21">
                  <c:v>0.45345113561712236</c:v>
                </c:pt>
                <c:pt idx="22">
                  <c:v>0.47325131675456966</c:v>
                </c:pt>
                <c:pt idx="23">
                  <c:v>0.49391608316324398</c:v>
                </c:pt>
              </c:numCache>
            </c:numRef>
          </c:yVal>
          <c:smooth val="0"/>
          <c:extLst>
            <c:ext xmlns:c16="http://schemas.microsoft.com/office/drawing/2014/chart" uri="{C3380CC4-5D6E-409C-BE32-E72D297353CC}">
              <c16:uniqueId val="{00000001-F11D-4501-B153-17FFE3916D9B}"/>
            </c:ext>
          </c:extLst>
        </c:ser>
        <c:dLbls>
          <c:showLegendKey val="0"/>
          <c:showVal val="0"/>
          <c:showCatName val="0"/>
          <c:showSerName val="0"/>
          <c:showPercent val="0"/>
          <c:showBubbleSize val="0"/>
        </c:dLbls>
        <c:axId val="167803904"/>
        <c:axId val="169773312"/>
      </c:scatterChart>
      <c:valAx>
        <c:axId val="167803904"/>
        <c:scaling>
          <c:orientation val="minMax"/>
          <c:max val="105"/>
          <c:min val="0"/>
        </c:scaling>
        <c:delete val="0"/>
        <c:axPos val="b"/>
        <c:title>
          <c:tx>
            <c:rich>
              <a:bodyPr/>
              <a:lstStyle/>
              <a:p>
                <a:pPr>
                  <a:defRPr/>
                </a:pPr>
                <a:r>
                  <a:rPr lang="zh-CN" altLang="en-US"/>
                  <a:t>年龄</a:t>
                </a:r>
                <a:endParaRPr lang="en-US"/>
              </a:p>
            </c:rich>
          </c:tx>
          <c:layout>
            <c:manualLayout>
              <c:xMode val="edge"/>
              <c:yMode val="edge"/>
              <c:x val="0.54524263276197305"/>
              <c:y val="0.88153933453701316"/>
            </c:manualLayout>
          </c:layout>
          <c:overlay val="0"/>
        </c:title>
        <c:numFmt formatCode="General" sourceLinked="1"/>
        <c:majorTickMark val="out"/>
        <c:minorTickMark val="none"/>
        <c:tickLblPos val="nextTo"/>
        <c:crossAx val="169773312"/>
        <c:crossesAt val="1.0000000000000056E-4"/>
        <c:crossBetween val="midCat"/>
        <c:majorUnit val="10"/>
      </c:valAx>
      <c:valAx>
        <c:axId val="169773312"/>
        <c:scaling>
          <c:logBase val="10"/>
          <c:orientation val="minMax"/>
          <c:max val="1"/>
          <c:min val="1.0000000000000032E-4"/>
        </c:scaling>
        <c:delete val="0"/>
        <c:axPos val="l"/>
        <c:majorGridlines>
          <c:spPr>
            <a:ln>
              <a:solidFill>
                <a:schemeClr val="bg1">
                  <a:lumMod val="85000"/>
                </a:schemeClr>
              </a:solidFill>
            </a:ln>
          </c:spPr>
        </c:majorGridlines>
        <c:title>
          <c:tx>
            <c:rich>
              <a:bodyPr rot="0" vert="horz" anchor="t" anchorCtr="0"/>
              <a:lstStyle/>
              <a:p>
                <a:pPr>
                  <a:defRPr/>
                </a:pPr>
                <a:r>
                  <a:rPr lang="en-US" i="1" baseline="-25000"/>
                  <a:t>n</a:t>
                </a:r>
                <a:r>
                  <a:rPr lang="en-US" i="1"/>
                  <a:t>m</a:t>
                </a:r>
                <a:r>
                  <a:rPr lang="en-US" i="1" baseline="-25000"/>
                  <a:t>x</a:t>
                </a:r>
              </a:p>
            </c:rich>
          </c:tx>
          <c:layout>
            <c:manualLayout>
              <c:xMode val="edge"/>
              <c:yMode val="edge"/>
              <c:x val="1.8224682246822478E-2"/>
              <c:y val="0.450290082354252"/>
            </c:manualLayout>
          </c:layout>
          <c:overlay val="0"/>
        </c:title>
        <c:numFmt formatCode="0.0000" sourceLinked="0"/>
        <c:majorTickMark val="out"/>
        <c:minorTickMark val="none"/>
        <c:tickLblPos val="nextTo"/>
        <c:crossAx val="167803904"/>
        <c:crossesAt val="0"/>
        <c:crossBetween val="midCat"/>
      </c:valAx>
    </c:plotArea>
    <c:legend>
      <c:legendPos val="b"/>
      <c:layout>
        <c:manualLayout>
          <c:xMode val="edge"/>
          <c:yMode val="edge"/>
          <c:x val="0.43915900179727974"/>
          <c:y val="0.94226171438397388"/>
          <c:w val="0.331839430754168"/>
          <c:h val="4.4635370991316307E-2"/>
        </c:manualLayout>
      </c:layout>
      <c:overlay val="0"/>
    </c:legend>
    <c:plotVisOnly val="1"/>
    <c:dispBlanksAs val="gap"/>
    <c:showDLblsOverMax val="0"/>
  </c:chart>
  <c:spPr>
    <a:solidFill>
      <a:srgbClr val="D7E6E6"/>
    </a:solidFill>
  </c:spPr>
  <c:txPr>
    <a:bodyPr/>
    <a:lstStyle/>
    <a:p>
      <a:pPr>
        <a:defRPr sz="1200">
          <a:latin typeface="Verdana" panose="020B0604030504040204" pitchFamily="34" charset="0"/>
          <a:ea typeface="Verdana" panose="020B0604030504040204" pitchFamily="34" charset="0"/>
          <a:cs typeface="Verdana" panose="020B0604030504040204" pitchFamily="34" charset="0"/>
        </a:defRPr>
      </a:pPr>
      <a:endParaRPr lang="zh-CN"/>
    </a:p>
  </c:txPr>
  <c:printSettings>
    <c:headerFooter/>
    <c:pageMargins b="0.75000000000000255" l="0.70000000000000062" r="0.70000000000000062" t="0.750000000000002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'Modified logit'!$T$7</c:f>
          <c:strCache>
            <c:ptCount val="1"/>
            <c:pt idx="0">
              <c:v>拟合的肯尼亚 c.1985生命表 - 修正的罗吉特法</c:v>
            </c:pt>
          </c:strCache>
        </c:strRef>
      </c:tx>
      <c:overlay val="0"/>
    </c:title>
    <c:autoTitleDeleted val="0"/>
    <c:plotArea>
      <c:layout>
        <c:manualLayout>
          <c:layoutTarget val="inner"/>
          <c:xMode val="edge"/>
          <c:yMode val="edge"/>
          <c:x val="0.24722878228782308"/>
          <c:y val="0.12227996446631144"/>
          <c:w val="0.7073528085280858"/>
          <c:h val="0.69783210332103318"/>
        </c:manualLayout>
      </c:layout>
      <c:scatterChart>
        <c:scatterStyle val="lineMarker"/>
        <c:varyColors val="0"/>
        <c:ser>
          <c:idx val="0"/>
          <c:order val="0"/>
          <c:tx>
            <c:v>女性</c:v>
          </c:tx>
          <c:spPr>
            <a:ln>
              <a:solidFill>
                <a:srgbClr val="C034C0"/>
              </a:solidFill>
            </a:ln>
          </c:spPr>
          <c:marker>
            <c:symbol val="none"/>
          </c:marker>
          <c:xVal>
            <c:numRef>
              <c:f>'Modified logit'!$K$15:$K$33</c:f>
              <c:numCache>
                <c:formatCode>General</c:formatCode>
                <c:ptCount val="19"/>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numCache>
            </c:numRef>
          </c:xVal>
          <c:yVal>
            <c:numRef>
              <c:f>'Modified logit'!$I$15:$I$33</c:f>
              <c:numCache>
                <c:formatCode>0.00000</c:formatCode>
                <c:ptCount val="19"/>
                <c:pt idx="0">
                  <c:v>8.4289707302677305E-2</c:v>
                </c:pt>
                <c:pt idx="1">
                  <c:v>7.1351360100862602E-3</c:v>
                </c:pt>
                <c:pt idx="2">
                  <c:v>1.6230418804483895E-3</c:v>
                </c:pt>
                <c:pt idx="3">
                  <c:v>8.0719071985812325E-4</c:v>
                </c:pt>
                <c:pt idx="4">
                  <c:v>9.1541792967604293E-4</c:v>
                </c:pt>
                <c:pt idx="5">
                  <c:v>1.5379193339990921E-3</c:v>
                </c:pt>
                <c:pt idx="6">
                  <c:v>1.8946043810829682E-3</c:v>
                </c:pt>
                <c:pt idx="7">
                  <c:v>2.1229378296119127E-3</c:v>
                </c:pt>
                <c:pt idx="8">
                  <c:v>2.4890248303994361E-3</c:v>
                </c:pt>
                <c:pt idx="9">
                  <c:v>3.0985562713164122E-3</c:v>
                </c:pt>
                <c:pt idx="10">
                  <c:v>4.4041745496739976E-3</c:v>
                </c:pt>
                <c:pt idx="11">
                  <c:v>6.8527292567873953E-3</c:v>
                </c:pt>
                <c:pt idx="12">
                  <c:v>1.1056321598047831E-2</c:v>
                </c:pt>
                <c:pt idx="13">
                  <c:v>1.6789598124313836E-2</c:v>
                </c:pt>
                <c:pt idx="14">
                  <c:v>2.8475147263135204E-2</c:v>
                </c:pt>
                <c:pt idx="15">
                  <c:v>4.8187115012701148E-2</c:v>
                </c:pt>
                <c:pt idx="16">
                  <c:v>8.0237154328968982E-2</c:v>
                </c:pt>
                <c:pt idx="17">
                  <c:v>0.12900112149586007</c:v>
                </c:pt>
                <c:pt idx="18">
                  <c:v>0.20740129041666971</c:v>
                </c:pt>
              </c:numCache>
            </c:numRef>
          </c:yVal>
          <c:smooth val="0"/>
          <c:extLst>
            <c:ext xmlns:c16="http://schemas.microsoft.com/office/drawing/2014/chart" uri="{C3380CC4-5D6E-409C-BE32-E72D297353CC}">
              <c16:uniqueId val="{00000000-A98C-4D30-BCC8-2431C599BA8D}"/>
            </c:ext>
          </c:extLst>
        </c:ser>
        <c:ser>
          <c:idx val="1"/>
          <c:order val="1"/>
          <c:tx>
            <c:v>男性</c:v>
          </c:tx>
          <c:spPr>
            <a:ln>
              <a:solidFill>
                <a:srgbClr val="0070C0"/>
              </a:solidFill>
            </a:ln>
          </c:spPr>
          <c:marker>
            <c:symbol val="none"/>
          </c:marker>
          <c:xVal>
            <c:numRef>
              <c:f>'Modified logit'!$K$15:$K$33</c:f>
              <c:numCache>
                <c:formatCode>General</c:formatCode>
                <c:ptCount val="19"/>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numCache>
            </c:numRef>
          </c:xVal>
          <c:yVal>
            <c:numRef>
              <c:f>'Modified logit'!$E$15:$E$33</c:f>
              <c:numCache>
                <c:formatCode>0.00000</c:formatCode>
                <c:ptCount val="19"/>
                <c:pt idx="0">
                  <c:v>9.494083763992707E-2</c:v>
                </c:pt>
                <c:pt idx="1">
                  <c:v>7.205061570125122E-3</c:v>
                </c:pt>
                <c:pt idx="2">
                  <c:v>1.9053330421858082E-3</c:v>
                </c:pt>
                <c:pt idx="3">
                  <c:v>1.0014278186149628E-3</c:v>
                </c:pt>
                <c:pt idx="4">
                  <c:v>8.7800750513953533E-4</c:v>
                </c:pt>
                <c:pt idx="5">
                  <c:v>1.7365300326189761E-3</c:v>
                </c:pt>
                <c:pt idx="6">
                  <c:v>2.2361551035264232E-3</c:v>
                </c:pt>
                <c:pt idx="7">
                  <c:v>2.7557749832697901E-3</c:v>
                </c:pt>
                <c:pt idx="8">
                  <c:v>3.6500634456965142E-3</c:v>
                </c:pt>
                <c:pt idx="9">
                  <c:v>5.1086168349541066E-3</c:v>
                </c:pt>
                <c:pt idx="10">
                  <c:v>7.5780402251796131E-3</c:v>
                </c:pt>
                <c:pt idx="11">
                  <c:v>1.1487992551997766E-2</c:v>
                </c:pt>
                <c:pt idx="12">
                  <c:v>1.8065288767014669E-2</c:v>
                </c:pt>
                <c:pt idx="13">
                  <c:v>2.560279309428256E-2</c:v>
                </c:pt>
                <c:pt idx="14">
                  <c:v>3.9773696210612344E-2</c:v>
                </c:pt>
                <c:pt idx="15">
                  <c:v>6.1796379094256768E-2</c:v>
                </c:pt>
                <c:pt idx="16">
                  <c:v>9.574976655821231E-2</c:v>
                </c:pt>
                <c:pt idx="17">
                  <c:v>0.14862111875813749</c:v>
                </c:pt>
                <c:pt idx="18">
                  <c:v>0.23068711010894818</c:v>
                </c:pt>
              </c:numCache>
            </c:numRef>
          </c:yVal>
          <c:smooth val="0"/>
          <c:extLst>
            <c:ext xmlns:c16="http://schemas.microsoft.com/office/drawing/2014/chart" uri="{C3380CC4-5D6E-409C-BE32-E72D297353CC}">
              <c16:uniqueId val="{00000001-A98C-4D30-BCC8-2431C599BA8D}"/>
            </c:ext>
          </c:extLst>
        </c:ser>
        <c:dLbls>
          <c:showLegendKey val="0"/>
          <c:showVal val="0"/>
          <c:showCatName val="0"/>
          <c:showSerName val="0"/>
          <c:showPercent val="0"/>
          <c:showBubbleSize val="0"/>
        </c:dLbls>
        <c:axId val="169888768"/>
        <c:axId val="169915904"/>
      </c:scatterChart>
      <c:valAx>
        <c:axId val="169888768"/>
        <c:scaling>
          <c:orientation val="minMax"/>
          <c:max val="105"/>
          <c:min val="0"/>
        </c:scaling>
        <c:delete val="0"/>
        <c:axPos val="b"/>
        <c:title>
          <c:tx>
            <c:rich>
              <a:bodyPr/>
              <a:lstStyle/>
              <a:p>
                <a:pPr>
                  <a:defRPr/>
                </a:pPr>
                <a:r>
                  <a:rPr lang="zh-CN" altLang="en-US"/>
                  <a:t>年龄</a:t>
                </a:r>
                <a:endParaRPr lang="en-US"/>
              </a:p>
            </c:rich>
          </c:tx>
          <c:overlay val="0"/>
        </c:title>
        <c:numFmt formatCode="General" sourceLinked="1"/>
        <c:majorTickMark val="out"/>
        <c:minorTickMark val="none"/>
        <c:tickLblPos val="nextTo"/>
        <c:crossAx val="169915904"/>
        <c:crossesAt val="1.0000000000000056E-4"/>
        <c:crossBetween val="midCat"/>
        <c:majorUnit val="10"/>
      </c:valAx>
      <c:valAx>
        <c:axId val="169915904"/>
        <c:scaling>
          <c:logBase val="10"/>
          <c:orientation val="minMax"/>
          <c:max val="1"/>
          <c:min val="1.0000000000000032E-4"/>
        </c:scaling>
        <c:delete val="0"/>
        <c:axPos val="l"/>
        <c:majorGridlines>
          <c:spPr>
            <a:ln>
              <a:solidFill>
                <a:schemeClr val="bg1">
                  <a:lumMod val="85000"/>
                </a:schemeClr>
              </a:solidFill>
            </a:ln>
          </c:spPr>
        </c:majorGridlines>
        <c:title>
          <c:tx>
            <c:rich>
              <a:bodyPr rot="0" vert="horz" anchor="t" anchorCtr="0"/>
              <a:lstStyle/>
              <a:p>
                <a:pPr>
                  <a:defRPr/>
                </a:pPr>
                <a:r>
                  <a:rPr lang="en-US" i="1" baseline="-25000"/>
                  <a:t>n</a:t>
                </a:r>
                <a:r>
                  <a:rPr lang="en-US" i="1"/>
                  <a:t>m</a:t>
                </a:r>
                <a:r>
                  <a:rPr lang="en-US" i="1" baseline="-25000"/>
                  <a:t>x</a:t>
                </a:r>
              </a:p>
            </c:rich>
          </c:tx>
          <c:layout>
            <c:manualLayout>
              <c:xMode val="edge"/>
              <c:yMode val="edge"/>
              <c:x val="1.3017630176301755E-2"/>
              <c:y val="0.34580907475741446"/>
            </c:manualLayout>
          </c:layout>
          <c:overlay val="0"/>
        </c:title>
        <c:numFmt formatCode="0.0000" sourceLinked="0"/>
        <c:majorTickMark val="out"/>
        <c:minorTickMark val="none"/>
        <c:tickLblPos val="nextTo"/>
        <c:crossAx val="169888768"/>
        <c:crossesAt val="0"/>
        <c:crossBetween val="midCat"/>
      </c:valAx>
    </c:plotArea>
    <c:legend>
      <c:legendPos val="b"/>
      <c:layout>
        <c:manualLayout>
          <c:xMode val="edge"/>
          <c:yMode val="edge"/>
          <c:x val="0.46584556240814728"/>
          <c:y val="0.93496462320561169"/>
          <c:w val="0.25221674876847289"/>
          <c:h val="4.5153053015181362E-2"/>
        </c:manualLayout>
      </c:layout>
      <c:overlay val="0"/>
    </c:legend>
    <c:plotVisOnly val="1"/>
    <c:dispBlanksAs val="gap"/>
    <c:showDLblsOverMax val="0"/>
  </c:chart>
  <c:spPr>
    <a:solidFill>
      <a:srgbClr val="D7E6E6"/>
    </a:solidFill>
  </c:spPr>
  <c:txPr>
    <a:bodyPr/>
    <a:lstStyle/>
    <a:p>
      <a:pPr>
        <a:defRPr sz="1200">
          <a:latin typeface="Verdana" panose="020B0604030504040204" pitchFamily="34" charset="0"/>
          <a:ea typeface="Verdana" panose="020B0604030504040204" pitchFamily="34" charset="0"/>
          <a:cs typeface="Verdana" panose="020B0604030504040204" pitchFamily="34" charset="0"/>
        </a:defRPr>
      </a:pPr>
      <a:endParaRPr lang="zh-CN"/>
    </a:p>
  </c:txPr>
  <c:printSettings>
    <c:headerFooter/>
    <c:pageMargins b="0.75000000000000255" l="0.70000000000000062" r="0.70000000000000062" t="0.750000000000002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'Log quadratic'!$W$7</c:f>
          <c:strCache>
            <c:ptCount val="1"/>
            <c:pt idx="0">
              <c:v>拟合的肯尼亚 c.1985生命表 - 对数二次法</c:v>
            </c:pt>
          </c:strCache>
        </c:strRef>
      </c:tx>
      <c:overlay val="0"/>
      <c:spPr>
        <a:ln>
          <a:noFill/>
        </a:ln>
      </c:spPr>
    </c:title>
    <c:autoTitleDeleted val="0"/>
    <c:plotArea>
      <c:layout>
        <c:manualLayout>
          <c:layoutTarget val="inner"/>
          <c:xMode val="edge"/>
          <c:yMode val="edge"/>
          <c:x val="0.24722878228782308"/>
          <c:y val="0.12227996446631144"/>
          <c:w val="0.7073528085280858"/>
          <c:h val="0.69783210332103318"/>
        </c:manualLayout>
      </c:layout>
      <c:scatterChart>
        <c:scatterStyle val="lineMarker"/>
        <c:varyColors val="0"/>
        <c:ser>
          <c:idx val="0"/>
          <c:order val="0"/>
          <c:tx>
            <c:v>女性</c:v>
          </c:tx>
          <c:spPr>
            <a:ln>
              <a:solidFill>
                <a:srgbClr val="C034C0"/>
              </a:solidFill>
            </a:ln>
          </c:spPr>
          <c:marker>
            <c:symbol val="none"/>
          </c:marker>
          <c:xVal>
            <c:numRef>
              <c:f>'Log quadratic'!$A$13:$A$36</c:f>
              <c:numCache>
                <c:formatCode>General</c:formatCode>
                <c:ptCount val="24"/>
                <c:pt idx="0">
                  <c:v>0</c:v>
                </c:pt>
                <c:pt idx="1">
                  <c:v>1</c:v>
                </c:pt>
                <c:pt idx="2" formatCode="0">
                  <c:v>5</c:v>
                </c:pt>
                <c:pt idx="3" formatCode="0">
                  <c:v>10</c:v>
                </c:pt>
                <c:pt idx="4" formatCode="0">
                  <c:v>15</c:v>
                </c:pt>
                <c:pt idx="5" formatCode="0">
                  <c:v>20</c:v>
                </c:pt>
                <c:pt idx="6" formatCode="0">
                  <c:v>25</c:v>
                </c:pt>
                <c:pt idx="7" formatCode="0">
                  <c:v>30</c:v>
                </c:pt>
                <c:pt idx="8" formatCode="0">
                  <c:v>35</c:v>
                </c:pt>
                <c:pt idx="9" formatCode="0">
                  <c:v>40</c:v>
                </c:pt>
                <c:pt idx="10" formatCode="0">
                  <c:v>45</c:v>
                </c:pt>
                <c:pt idx="11" formatCode="0">
                  <c:v>50</c:v>
                </c:pt>
                <c:pt idx="12" formatCode="0">
                  <c:v>55</c:v>
                </c:pt>
                <c:pt idx="13" formatCode="0">
                  <c:v>60</c:v>
                </c:pt>
                <c:pt idx="14" formatCode="0">
                  <c:v>65</c:v>
                </c:pt>
                <c:pt idx="15" formatCode="0">
                  <c:v>70</c:v>
                </c:pt>
                <c:pt idx="16" formatCode="0">
                  <c:v>75</c:v>
                </c:pt>
                <c:pt idx="17" formatCode="0">
                  <c:v>80</c:v>
                </c:pt>
                <c:pt idx="18" formatCode="0">
                  <c:v>85</c:v>
                </c:pt>
                <c:pt idx="19" formatCode="0">
                  <c:v>90</c:v>
                </c:pt>
                <c:pt idx="20" formatCode="0">
                  <c:v>95</c:v>
                </c:pt>
                <c:pt idx="21" formatCode="0">
                  <c:v>100</c:v>
                </c:pt>
                <c:pt idx="22" formatCode="0">
                  <c:v>105</c:v>
                </c:pt>
                <c:pt idx="23" formatCode="0">
                  <c:v>110</c:v>
                </c:pt>
              </c:numCache>
            </c:numRef>
          </c:xVal>
          <c:yVal>
            <c:numRef>
              <c:f>'Log quadratic'!$H$13:$H$36</c:f>
              <c:numCache>
                <c:formatCode>0.0000</c:formatCode>
                <c:ptCount val="24"/>
                <c:pt idx="0">
                  <c:v>8.1326873597937249E-2</c:v>
                </c:pt>
                <c:pt idx="1">
                  <c:v>8.6297779033410477E-3</c:v>
                </c:pt>
                <c:pt idx="2">
                  <c:v>1.2051799690089306E-3</c:v>
                </c:pt>
                <c:pt idx="3">
                  <c:v>6.9231456255116502E-4</c:v>
                </c:pt>
                <c:pt idx="4">
                  <c:v>8.5054249193373304E-4</c:v>
                </c:pt>
                <c:pt idx="5">
                  <c:v>1.0361528160210715E-3</c:v>
                </c:pt>
                <c:pt idx="6">
                  <c:v>1.2922592821156113E-3</c:v>
                </c:pt>
                <c:pt idx="7">
                  <c:v>1.7335349135165E-3</c:v>
                </c:pt>
                <c:pt idx="8">
                  <c:v>2.4499321903017966E-3</c:v>
                </c:pt>
                <c:pt idx="9">
                  <c:v>3.5147732536885577E-3</c:v>
                </c:pt>
                <c:pt idx="10">
                  <c:v>4.9747683362760539E-3</c:v>
                </c:pt>
                <c:pt idx="11">
                  <c:v>7.4312778626860702E-3</c:v>
                </c:pt>
                <c:pt idx="12">
                  <c:v>1.1085833013593021E-2</c:v>
                </c:pt>
                <c:pt idx="13">
                  <c:v>1.9038279146284906E-2</c:v>
                </c:pt>
                <c:pt idx="14">
                  <c:v>3.1791663525468784E-2</c:v>
                </c:pt>
                <c:pt idx="15">
                  <c:v>5.6453940430485801E-2</c:v>
                </c:pt>
                <c:pt idx="16">
                  <c:v>9.512184237963929E-2</c:v>
                </c:pt>
                <c:pt idx="17">
                  <c:v>0.15005189364458194</c:v>
                </c:pt>
                <c:pt idx="18">
                  <c:v>0.22286286029806654</c:v>
                </c:pt>
                <c:pt idx="19">
                  <c:v>0.31689901558384326</c:v>
                </c:pt>
                <c:pt idx="20">
                  <c:v>0.43583783206837795</c:v>
                </c:pt>
                <c:pt idx="21">
                  <c:v>0.55900264254266074</c:v>
                </c:pt>
                <c:pt idx="22">
                  <c:v>0.67742479371050501</c:v>
                </c:pt>
                <c:pt idx="23">
                  <c:v>0.76648346028499825</c:v>
                </c:pt>
              </c:numCache>
            </c:numRef>
          </c:yVal>
          <c:smooth val="0"/>
          <c:extLst>
            <c:ext xmlns:c16="http://schemas.microsoft.com/office/drawing/2014/chart" uri="{C3380CC4-5D6E-409C-BE32-E72D297353CC}">
              <c16:uniqueId val="{00000000-E29B-4B95-986C-83A91F100A39}"/>
            </c:ext>
          </c:extLst>
        </c:ser>
        <c:ser>
          <c:idx val="1"/>
          <c:order val="1"/>
          <c:tx>
            <c:v>男性</c:v>
          </c:tx>
          <c:spPr>
            <a:ln>
              <a:solidFill>
                <a:srgbClr val="0070C0"/>
              </a:solidFill>
            </a:ln>
          </c:spPr>
          <c:marker>
            <c:symbol val="none"/>
          </c:marker>
          <c:xVal>
            <c:numRef>
              <c:f>'Log quadratic'!$A$13:$A$36</c:f>
              <c:numCache>
                <c:formatCode>General</c:formatCode>
                <c:ptCount val="24"/>
                <c:pt idx="0">
                  <c:v>0</c:v>
                </c:pt>
                <c:pt idx="1">
                  <c:v>1</c:v>
                </c:pt>
                <c:pt idx="2" formatCode="0">
                  <c:v>5</c:v>
                </c:pt>
                <c:pt idx="3" formatCode="0">
                  <c:v>10</c:v>
                </c:pt>
                <c:pt idx="4" formatCode="0">
                  <c:v>15</c:v>
                </c:pt>
                <c:pt idx="5" formatCode="0">
                  <c:v>20</c:v>
                </c:pt>
                <c:pt idx="6" formatCode="0">
                  <c:v>25</c:v>
                </c:pt>
                <c:pt idx="7" formatCode="0">
                  <c:v>30</c:v>
                </c:pt>
                <c:pt idx="8" formatCode="0">
                  <c:v>35</c:v>
                </c:pt>
                <c:pt idx="9" formatCode="0">
                  <c:v>40</c:v>
                </c:pt>
                <c:pt idx="10" formatCode="0">
                  <c:v>45</c:v>
                </c:pt>
                <c:pt idx="11" formatCode="0">
                  <c:v>50</c:v>
                </c:pt>
                <c:pt idx="12" formatCode="0">
                  <c:v>55</c:v>
                </c:pt>
                <c:pt idx="13" formatCode="0">
                  <c:v>60</c:v>
                </c:pt>
                <c:pt idx="14" formatCode="0">
                  <c:v>65</c:v>
                </c:pt>
                <c:pt idx="15" formatCode="0">
                  <c:v>70</c:v>
                </c:pt>
                <c:pt idx="16" formatCode="0">
                  <c:v>75</c:v>
                </c:pt>
                <c:pt idx="17" formatCode="0">
                  <c:v>80</c:v>
                </c:pt>
                <c:pt idx="18" formatCode="0">
                  <c:v>85</c:v>
                </c:pt>
                <c:pt idx="19" formatCode="0">
                  <c:v>90</c:v>
                </c:pt>
                <c:pt idx="20" formatCode="0">
                  <c:v>95</c:v>
                </c:pt>
                <c:pt idx="21" formatCode="0">
                  <c:v>100</c:v>
                </c:pt>
                <c:pt idx="22" formatCode="0">
                  <c:v>105</c:v>
                </c:pt>
                <c:pt idx="23" formatCode="0">
                  <c:v>110</c:v>
                </c:pt>
              </c:numCache>
            </c:numRef>
          </c:xVal>
          <c:yVal>
            <c:numRef>
              <c:f>'Log quadratic'!$D$13:$D$36</c:f>
              <c:numCache>
                <c:formatCode>0.0000</c:formatCode>
                <c:ptCount val="24"/>
                <c:pt idx="0">
                  <c:v>9.378993594570556E-2</c:v>
                </c:pt>
                <c:pt idx="1">
                  <c:v>8.4071255090909704E-3</c:v>
                </c:pt>
                <c:pt idx="2">
                  <c:v>2.1344263799524341E-3</c:v>
                </c:pt>
                <c:pt idx="3">
                  <c:v>1.4691259726321703E-3</c:v>
                </c:pt>
                <c:pt idx="4">
                  <c:v>2.2563729293910554E-3</c:v>
                </c:pt>
                <c:pt idx="5">
                  <c:v>2.8680893013274468E-3</c:v>
                </c:pt>
                <c:pt idx="6">
                  <c:v>2.7097519099741354E-3</c:v>
                </c:pt>
                <c:pt idx="7">
                  <c:v>2.9151663875812339E-3</c:v>
                </c:pt>
                <c:pt idx="8">
                  <c:v>3.6105979657100572E-3</c:v>
                </c:pt>
                <c:pt idx="9">
                  <c:v>4.8465045666843841E-3</c:v>
                </c:pt>
                <c:pt idx="10">
                  <c:v>7.0486804366770824E-3</c:v>
                </c:pt>
                <c:pt idx="11">
                  <c:v>1.0721240294535216E-2</c:v>
                </c:pt>
                <c:pt idx="12">
                  <c:v>1.6537246535026529E-2</c:v>
                </c:pt>
                <c:pt idx="13">
                  <c:v>2.6291755325281541E-2</c:v>
                </c:pt>
                <c:pt idx="14">
                  <c:v>4.1388807311288973E-2</c:v>
                </c:pt>
                <c:pt idx="15">
                  <c:v>6.653104270121471E-2</c:v>
                </c:pt>
                <c:pt idx="16">
                  <c:v>0.1060902918331573</c:v>
                </c:pt>
                <c:pt idx="17">
                  <c:v>0.16457990669227651</c:v>
                </c:pt>
                <c:pt idx="18">
                  <c:v>0.2493577476081193</c:v>
                </c:pt>
                <c:pt idx="19">
                  <c:v>0.34863488209355797</c:v>
                </c:pt>
                <c:pt idx="20">
                  <c:v>0.46981708403242989</c:v>
                </c:pt>
                <c:pt idx="21">
                  <c:v>0.5919302108370037</c:v>
                </c:pt>
                <c:pt idx="22">
                  <c:v>0.705246258976024</c:v>
                </c:pt>
                <c:pt idx="23">
                  <c:v>0.79648475180038469</c:v>
                </c:pt>
              </c:numCache>
            </c:numRef>
          </c:yVal>
          <c:smooth val="0"/>
          <c:extLst>
            <c:ext xmlns:c16="http://schemas.microsoft.com/office/drawing/2014/chart" uri="{C3380CC4-5D6E-409C-BE32-E72D297353CC}">
              <c16:uniqueId val="{00000001-E29B-4B95-986C-83A91F100A39}"/>
            </c:ext>
          </c:extLst>
        </c:ser>
        <c:dLbls>
          <c:showLegendKey val="0"/>
          <c:showVal val="0"/>
          <c:showCatName val="0"/>
          <c:showSerName val="0"/>
          <c:showPercent val="0"/>
          <c:showBubbleSize val="0"/>
        </c:dLbls>
        <c:axId val="170322944"/>
        <c:axId val="170357888"/>
      </c:scatterChart>
      <c:valAx>
        <c:axId val="170322944"/>
        <c:scaling>
          <c:orientation val="minMax"/>
          <c:max val="105"/>
          <c:min val="0"/>
        </c:scaling>
        <c:delete val="0"/>
        <c:axPos val="b"/>
        <c:title>
          <c:tx>
            <c:rich>
              <a:bodyPr/>
              <a:lstStyle/>
              <a:p>
                <a:pPr>
                  <a:defRPr/>
                </a:pPr>
                <a:r>
                  <a:rPr lang="zh-CN" altLang="en-US"/>
                  <a:t>年龄</a:t>
                </a:r>
                <a:endParaRPr lang="en-US"/>
              </a:p>
            </c:rich>
          </c:tx>
          <c:overlay val="0"/>
        </c:title>
        <c:numFmt formatCode="General" sourceLinked="1"/>
        <c:majorTickMark val="out"/>
        <c:minorTickMark val="none"/>
        <c:tickLblPos val="nextTo"/>
        <c:crossAx val="170357888"/>
        <c:crossesAt val="1.0000000000000056E-4"/>
        <c:crossBetween val="midCat"/>
        <c:majorUnit val="10"/>
      </c:valAx>
      <c:valAx>
        <c:axId val="170357888"/>
        <c:scaling>
          <c:logBase val="10"/>
          <c:orientation val="minMax"/>
          <c:max val="1"/>
          <c:min val="1.0000000000000032E-4"/>
        </c:scaling>
        <c:delete val="0"/>
        <c:axPos val="l"/>
        <c:majorGridlines>
          <c:spPr>
            <a:ln>
              <a:solidFill>
                <a:schemeClr val="bg1">
                  <a:lumMod val="85000"/>
                </a:schemeClr>
              </a:solidFill>
            </a:ln>
          </c:spPr>
        </c:majorGridlines>
        <c:title>
          <c:tx>
            <c:rich>
              <a:bodyPr rot="0" vert="horz" anchor="t" anchorCtr="0"/>
              <a:lstStyle/>
              <a:p>
                <a:pPr>
                  <a:defRPr/>
                </a:pPr>
                <a:r>
                  <a:rPr lang="en-US" i="1" baseline="-25000"/>
                  <a:t>n</a:t>
                </a:r>
                <a:r>
                  <a:rPr lang="en-US" i="1"/>
                  <a:t>m</a:t>
                </a:r>
                <a:r>
                  <a:rPr lang="en-US" i="1" baseline="-25000"/>
                  <a:t>x</a:t>
                </a:r>
              </a:p>
            </c:rich>
          </c:tx>
          <c:layout>
            <c:manualLayout>
              <c:xMode val="edge"/>
              <c:yMode val="edge"/>
              <c:x val="1.3017630176301755E-2"/>
              <c:y val="0.34580907475741446"/>
            </c:manualLayout>
          </c:layout>
          <c:overlay val="0"/>
        </c:title>
        <c:numFmt formatCode="0.0000" sourceLinked="0"/>
        <c:majorTickMark val="out"/>
        <c:minorTickMark val="none"/>
        <c:tickLblPos val="nextTo"/>
        <c:crossAx val="170322944"/>
        <c:crossesAt val="0"/>
        <c:crossBetween val="midCat"/>
      </c:valAx>
    </c:plotArea>
    <c:legend>
      <c:legendPos val="b"/>
      <c:layout>
        <c:manualLayout>
          <c:xMode val="edge"/>
          <c:yMode val="edge"/>
          <c:x val="0.46050190550405717"/>
          <c:y val="0.93869731995858585"/>
          <c:w val="0.27988229683992605"/>
          <c:h val="4.4058081708165726E-2"/>
        </c:manualLayout>
      </c:layout>
      <c:overlay val="0"/>
    </c:legend>
    <c:plotVisOnly val="1"/>
    <c:dispBlanksAs val="gap"/>
    <c:showDLblsOverMax val="0"/>
  </c:chart>
  <c:spPr>
    <a:solidFill>
      <a:srgbClr val="D7E6E6"/>
    </a:solidFill>
  </c:spPr>
  <c:txPr>
    <a:bodyPr/>
    <a:lstStyle/>
    <a:p>
      <a:pPr>
        <a:defRPr sz="1200">
          <a:latin typeface="Verdana" panose="020B0604030504040204" pitchFamily="34" charset="0"/>
          <a:ea typeface="Verdana" panose="020B0604030504040204" pitchFamily="34" charset="0"/>
          <a:cs typeface="Verdana" panose="020B0604030504040204" pitchFamily="34" charset="0"/>
        </a:defRPr>
      </a:pPr>
      <a:endParaRPr lang="zh-CN"/>
    </a:p>
  </c:txPr>
  <c:printSettings>
    <c:headerFooter/>
    <c:pageMargins b="0.75000000000000255" l="0.70000000000000062" r="0.70000000000000062" t="0.750000000000002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zh-CN" altLang="en-US" sz="1400"/>
              <a:t>男性</a:t>
            </a:r>
            <a:endParaRPr lang="en-US" sz="1400"/>
          </a:p>
        </c:rich>
      </c:tx>
      <c:layout>
        <c:manualLayout>
          <c:xMode val="edge"/>
          <c:yMode val="edge"/>
          <c:x val="0.502477958883498"/>
          <c:y val="9.2504227745327881E-3"/>
        </c:manualLayout>
      </c:layout>
      <c:overlay val="1"/>
    </c:title>
    <c:autoTitleDeleted val="0"/>
    <c:plotArea>
      <c:layout>
        <c:manualLayout>
          <c:layoutTarget val="inner"/>
          <c:xMode val="edge"/>
          <c:yMode val="edge"/>
          <c:x val="0.21165740313988829"/>
          <c:y val="6.7430936986535434E-2"/>
          <c:w val="0.74126509665877693"/>
          <c:h val="0.78007127157885858"/>
        </c:manualLayout>
      </c:layout>
      <c:scatterChart>
        <c:scatterStyle val="lineMarker"/>
        <c:varyColors val="0"/>
        <c:ser>
          <c:idx val="0"/>
          <c:order val="0"/>
          <c:tx>
            <c:v>拼接法</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Comparison!$C$21:$C$44</c:f>
              <c:numCache>
                <c:formatCode>0.0000</c:formatCode>
                <c:ptCount val="24"/>
                <c:pt idx="0">
                  <c:v>9.1476227923835723E-2</c:v>
                </c:pt>
                <c:pt idx="1">
                  <c:v>8.095198140918955E-3</c:v>
                </c:pt>
                <c:pt idx="2">
                  <c:v>2.3397966408769781E-3</c:v>
                </c:pt>
                <c:pt idx="3">
                  <c:v>1.780968195441848E-3</c:v>
                </c:pt>
                <c:pt idx="4">
                  <c:v>1.824591305148268E-3</c:v>
                </c:pt>
                <c:pt idx="5">
                  <c:v>2.6093117209247483E-3</c:v>
                </c:pt>
                <c:pt idx="6">
                  <c:v>2.7462509149051087E-3</c:v>
                </c:pt>
                <c:pt idx="7">
                  <c:v>3.111115010125144E-3</c:v>
                </c:pt>
                <c:pt idx="8">
                  <c:v>3.8888538202553713E-3</c:v>
                </c:pt>
                <c:pt idx="9">
                  <c:v>5.2154750027624628E-3</c:v>
                </c:pt>
                <c:pt idx="10">
                  <c:v>7.3082071831008164E-3</c:v>
                </c:pt>
                <c:pt idx="11">
                  <c:v>1.0739017444557693E-2</c:v>
                </c:pt>
                <c:pt idx="12">
                  <c:v>1.6073032465832731E-2</c:v>
                </c:pt>
                <c:pt idx="13">
                  <c:v>2.466963645568148E-2</c:v>
                </c:pt>
                <c:pt idx="14">
                  <c:v>3.7964470083016615E-2</c:v>
                </c:pt>
                <c:pt idx="15">
                  <c:v>5.994514682808242E-2</c:v>
                </c:pt>
                <c:pt idx="16">
                  <c:v>9.638333484988143E-2</c:v>
                </c:pt>
                <c:pt idx="17">
                  <c:v>0.152888449858299</c:v>
                </c:pt>
                <c:pt idx="18">
                  <c:v>0.23696849555958779</c:v>
                </c:pt>
                <c:pt idx="19">
                  <c:v>0.33842736189941619</c:v>
                </c:pt>
                <c:pt idx="20">
                  <c:v>0.46306568497169875</c:v>
                </c:pt>
                <c:pt idx="21">
                  <c:v>0.51982891134795062</c:v>
                </c:pt>
                <c:pt idx="22">
                  <c:v>0.54667570548770705</c:v>
                </c:pt>
                <c:pt idx="23">
                  <c:v>0.57490901418994422</c:v>
                </c:pt>
              </c:numCache>
            </c:numRef>
          </c:yVal>
          <c:smooth val="0"/>
          <c:extLst>
            <c:ext xmlns:c16="http://schemas.microsoft.com/office/drawing/2014/chart" uri="{C3380CC4-5D6E-409C-BE32-E72D297353CC}">
              <c16:uniqueId val="{00000000-6556-4B9B-BEEC-5B2A829A4354}"/>
            </c:ext>
          </c:extLst>
        </c:ser>
        <c:ser>
          <c:idx val="1"/>
          <c:order val="1"/>
          <c:tx>
            <c:v>布拉斯罗吉特法</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Comparison!$D$21:$D$44</c:f>
              <c:numCache>
                <c:formatCode>0.0000</c:formatCode>
                <c:ptCount val="24"/>
                <c:pt idx="0">
                  <c:v>9.7248246596197435E-2</c:v>
                </c:pt>
                <c:pt idx="1">
                  <c:v>6.6135783683970795E-3</c:v>
                </c:pt>
                <c:pt idx="2">
                  <c:v>1.8453209264539432E-3</c:v>
                </c:pt>
                <c:pt idx="3">
                  <c:v>1.3845780367812493E-3</c:v>
                </c:pt>
                <c:pt idx="4">
                  <c:v>2.1782456686383518E-3</c:v>
                </c:pt>
                <c:pt idx="5">
                  <c:v>3.0365624123393038E-3</c:v>
                </c:pt>
                <c:pt idx="6">
                  <c:v>3.1090131165615463E-3</c:v>
                </c:pt>
                <c:pt idx="7">
                  <c:v>3.4290257229973994E-3</c:v>
                </c:pt>
                <c:pt idx="8">
                  <c:v>4.1666666604990117E-3</c:v>
                </c:pt>
                <c:pt idx="9">
                  <c:v>5.4117919774420145E-3</c:v>
                </c:pt>
                <c:pt idx="10">
                  <c:v>7.3049197121493794E-3</c:v>
                </c:pt>
                <c:pt idx="11">
                  <c:v>1.0272548707849482E-2</c:v>
                </c:pt>
                <c:pt idx="12">
                  <c:v>1.4617827323008268E-2</c:v>
                </c:pt>
                <c:pt idx="13">
                  <c:v>2.1228197140564984E-2</c:v>
                </c:pt>
                <c:pt idx="14">
                  <c:v>3.0924062581717825E-2</c:v>
                </c:pt>
                <c:pt idx="15">
                  <c:v>4.6619716972574769E-2</c:v>
                </c:pt>
                <c:pt idx="16">
                  <c:v>7.2912895246468337E-2</c:v>
                </c:pt>
                <c:pt idx="17">
                  <c:v>0.11617891117482292</c:v>
                </c:pt>
                <c:pt idx="18">
                  <c:v>0.18643530570377062</c:v>
                </c:pt>
                <c:pt idx="19">
                  <c:v>0.27971367152842053</c:v>
                </c:pt>
                <c:pt idx="20">
                  <c:v>0.39681490550159731</c:v>
                </c:pt>
                <c:pt idx="21">
                  <c:v>0.45345113561712236</c:v>
                </c:pt>
                <c:pt idx="22">
                  <c:v>0.47325131675456966</c:v>
                </c:pt>
                <c:pt idx="23">
                  <c:v>0.49391608316324398</c:v>
                </c:pt>
              </c:numCache>
            </c:numRef>
          </c:yVal>
          <c:smooth val="0"/>
          <c:extLst>
            <c:ext xmlns:c16="http://schemas.microsoft.com/office/drawing/2014/chart" uri="{C3380CC4-5D6E-409C-BE32-E72D297353CC}">
              <c16:uniqueId val="{00000001-6556-4B9B-BEEC-5B2A829A4354}"/>
            </c:ext>
          </c:extLst>
        </c:ser>
        <c:ser>
          <c:idx val="2"/>
          <c:order val="2"/>
          <c:tx>
            <c:v>Modified logit</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Comparison!$E$21:$E$44</c:f>
              <c:numCache>
                <c:formatCode>0.0000</c:formatCode>
                <c:ptCount val="24"/>
                <c:pt idx="0">
                  <c:v>9.494083763992707E-2</c:v>
                </c:pt>
                <c:pt idx="1">
                  <c:v>7.205061570125122E-3</c:v>
                </c:pt>
                <c:pt idx="2">
                  <c:v>1.9053330421858082E-3</c:v>
                </c:pt>
                <c:pt idx="3">
                  <c:v>1.0014278186149628E-3</c:v>
                </c:pt>
                <c:pt idx="4">
                  <c:v>8.7800750513953533E-4</c:v>
                </c:pt>
                <c:pt idx="5">
                  <c:v>1.7365300326189761E-3</c:v>
                </c:pt>
                <c:pt idx="6">
                  <c:v>2.2361551035264232E-3</c:v>
                </c:pt>
                <c:pt idx="7">
                  <c:v>2.7557749832697901E-3</c:v>
                </c:pt>
                <c:pt idx="8">
                  <c:v>3.6500634456965142E-3</c:v>
                </c:pt>
                <c:pt idx="9">
                  <c:v>5.1086168349541066E-3</c:v>
                </c:pt>
                <c:pt idx="10">
                  <c:v>7.5780402251796131E-3</c:v>
                </c:pt>
                <c:pt idx="11">
                  <c:v>1.1487992551997766E-2</c:v>
                </c:pt>
                <c:pt idx="12">
                  <c:v>1.8065288767014669E-2</c:v>
                </c:pt>
                <c:pt idx="13">
                  <c:v>2.560279309428256E-2</c:v>
                </c:pt>
                <c:pt idx="14">
                  <c:v>3.9773696210612344E-2</c:v>
                </c:pt>
                <c:pt idx="15">
                  <c:v>6.1796379094256768E-2</c:v>
                </c:pt>
                <c:pt idx="16">
                  <c:v>9.574976655821231E-2</c:v>
                </c:pt>
                <c:pt idx="17">
                  <c:v>0.14862111875813749</c:v>
                </c:pt>
                <c:pt idx="18">
                  <c:v>0.23068711010894818</c:v>
                </c:pt>
              </c:numCache>
            </c:numRef>
          </c:yVal>
          <c:smooth val="0"/>
          <c:extLst>
            <c:ext xmlns:c16="http://schemas.microsoft.com/office/drawing/2014/chart" uri="{C3380CC4-5D6E-409C-BE32-E72D297353CC}">
              <c16:uniqueId val="{00000002-6556-4B9B-BEEC-5B2A829A4354}"/>
            </c:ext>
          </c:extLst>
        </c:ser>
        <c:ser>
          <c:idx val="3"/>
          <c:order val="3"/>
          <c:tx>
            <c:v>Log quadratic</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Comparison!$F$21:$F$44</c:f>
              <c:numCache>
                <c:formatCode>0.0000</c:formatCode>
                <c:ptCount val="24"/>
                <c:pt idx="0">
                  <c:v>9.378993594570556E-2</c:v>
                </c:pt>
                <c:pt idx="1">
                  <c:v>8.4071255090909704E-3</c:v>
                </c:pt>
                <c:pt idx="2">
                  <c:v>2.1344263799524341E-3</c:v>
                </c:pt>
                <c:pt idx="3">
                  <c:v>1.4691259726321703E-3</c:v>
                </c:pt>
                <c:pt idx="4">
                  <c:v>2.2563729293910554E-3</c:v>
                </c:pt>
                <c:pt idx="5">
                  <c:v>2.8680893013274468E-3</c:v>
                </c:pt>
                <c:pt idx="6">
                  <c:v>2.7097519099741354E-3</c:v>
                </c:pt>
                <c:pt idx="7">
                  <c:v>2.9151663875812339E-3</c:v>
                </c:pt>
                <c:pt idx="8">
                  <c:v>3.6105979657100572E-3</c:v>
                </c:pt>
                <c:pt idx="9">
                  <c:v>4.8465045666843841E-3</c:v>
                </c:pt>
                <c:pt idx="10">
                  <c:v>7.0486804366770824E-3</c:v>
                </c:pt>
                <c:pt idx="11">
                  <c:v>1.0721240294535216E-2</c:v>
                </c:pt>
                <c:pt idx="12">
                  <c:v>1.6537246535026529E-2</c:v>
                </c:pt>
                <c:pt idx="13">
                  <c:v>2.6291755325281541E-2</c:v>
                </c:pt>
                <c:pt idx="14">
                  <c:v>4.1388807311288973E-2</c:v>
                </c:pt>
                <c:pt idx="15">
                  <c:v>6.653104270121471E-2</c:v>
                </c:pt>
                <c:pt idx="16">
                  <c:v>0.1060902918331573</c:v>
                </c:pt>
                <c:pt idx="17">
                  <c:v>0.16457990669227651</c:v>
                </c:pt>
                <c:pt idx="18">
                  <c:v>0.2493577476081193</c:v>
                </c:pt>
                <c:pt idx="19">
                  <c:v>0.34863488209355797</c:v>
                </c:pt>
                <c:pt idx="20">
                  <c:v>0.46981708403242989</c:v>
                </c:pt>
                <c:pt idx="21">
                  <c:v>0.5919302108370037</c:v>
                </c:pt>
                <c:pt idx="22">
                  <c:v>0.705246258976024</c:v>
                </c:pt>
                <c:pt idx="23">
                  <c:v>0.79648475180038469</c:v>
                </c:pt>
              </c:numCache>
            </c:numRef>
          </c:yVal>
          <c:smooth val="0"/>
          <c:extLst>
            <c:ext xmlns:c16="http://schemas.microsoft.com/office/drawing/2014/chart" uri="{C3380CC4-5D6E-409C-BE32-E72D297353CC}">
              <c16:uniqueId val="{00000003-6556-4B9B-BEEC-5B2A829A4354}"/>
            </c:ext>
          </c:extLst>
        </c:ser>
        <c:dLbls>
          <c:showLegendKey val="0"/>
          <c:showVal val="0"/>
          <c:showCatName val="0"/>
          <c:showSerName val="0"/>
          <c:showPercent val="0"/>
          <c:showBubbleSize val="0"/>
        </c:dLbls>
        <c:axId val="138165248"/>
        <c:axId val="139654272"/>
      </c:scatterChart>
      <c:valAx>
        <c:axId val="138165248"/>
        <c:scaling>
          <c:orientation val="minMax"/>
          <c:max val="100"/>
          <c:min val="0"/>
        </c:scaling>
        <c:delete val="0"/>
        <c:axPos val="b"/>
        <c:title>
          <c:tx>
            <c:rich>
              <a:bodyPr/>
              <a:lstStyle/>
              <a:p>
                <a:pPr>
                  <a:defRPr/>
                </a:pPr>
                <a:r>
                  <a:rPr lang="zh-CN" altLang="en-US"/>
                  <a:t>年龄</a:t>
                </a:r>
                <a:endParaRPr lang="en-US"/>
              </a:p>
            </c:rich>
          </c:tx>
          <c:overlay val="0"/>
        </c:title>
        <c:numFmt formatCode="General" sourceLinked="1"/>
        <c:majorTickMark val="out"/>
        <c:minorTickMark val="none"/>
        <c:tickLblPos val="nextTo"/>
        <c:crossAx val="139654272"/>
        <c:crossesAt val="1.0000000000000022E-4"/>
        <c:crossBetween val="midCat"/>
        <c:majorUnit val="20"/>
      </c:valAx>
      <c:valAx>
        <c:axId val="139654272"/>
        <c:scaling>
          <c:logBase val="10"/>
          <c:orientation val="minMax"/>
          <c:max val="1"/>
          <c:min val="1.0000000000000022E-4"/>
        </c:scaling>
        <c:delete val="0"/>
        <c:axPos val="l"/>
        <c:majorGridlines>
          <c:spPr>
            <a:ln>
              <a:solidFill>
                <a:schemeClr val="bg1">
                  <a:lumMod val="85000"/>
                </a:schemeClr>
              </a:solidFill>
            </a:ln>
          </c:spPr>
        </c:majorGridlines>
        <c:title>
          <c:tx>
            <c:rich>
              <a:bodyPr rot="0" vert="eaVert"/>
              <a:lstStyle/>
              <a:p>
                <a:pPr>
                  <a:defRPr/>
                </a:pPr>
                <a:r>
                  <a:rPr lang="zh-CN" altLang="en-US"/>
                  <a:t>年龄别死亡率</a:t>
                </a:r>
                <a:r>
                  <a:rPr lang="en-US"/>
                  <a:t>(log )</a:t>
                </a:r>
              </a:p>
            </c:rich>
          </c:tx>
          <c:layout>
            <c:manualLayout>
              <c:xMode val="edge"/>
              <c:yMode val="edge"/>
              <c:x val="0"/>
              <c:y val="0.16729557113530741"/>
            </c:manualLayout>
          </c:layout>
          <c:overlay val="0"/>
        </c:title>
        <c:numFmt formatCode="0.0000" sourceLinked="0"/>
        <c:majorTickMark val="out"/>
        <c:minorTickMark val="none"/>
        <c:tickLblPos val="nextTo"/>
        <c:crossAx val="138165248"/>
        <c:crosses val="autoZero"/>
        <c:crossBetween val="midCat"/>
      </c:valAx>
    </c:plotArea>
    <c:legend>
      <c:legendPos val="b"/>
      <c:legendEntry>
        <c:idx val="2"/>
        <c:delete val="1"/>
      </c:legendEntry>
      <c:legendEntry>
        <c:idx val="3"/>
        <c:delete val="1"/>
      </c:legendEntry>
      <c:layout>
        <c:manualLayout>
          <c:xMode val="edge"/>
          <c:yMode val="edge"/>
          <c:x val="4.9868351461967053E-2"/>
          <c:y val="0.92996161196697102"/>
          <c:w val="0.90296171493496402"/>
          <c:h val="7.0038388033028962E-2"/>
        </c:manualLayout>
      </c:layout>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1" l="0.70000000000000062" r="0.70000000000000062" t="0.75000000000000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zh-CN" altLang="en-US" sz="1400"/>
              <a:t>女性</a:t>
            </a:r>
            <a:endParaRPr lang="en-US" sz="1400"/>
          </a:p>
        </c:rich>
      </c:tx>
      <c:layout>
        <c:manualLayout>
          <c:xMode val="edge"/>
          <c:yMode val="edge"/>
          <c:x val="0.4353316659902382"/>
          <c:y val="9.5727543035828717E-3"/>
        </c:manualLayout>
      </c:layout>
      <c:overlay val="1"/>
    </c:title>
    <c:autoTitleDeleted val="0"/>
    <c:plotArea>
      <c:layout>
        <c:manualLayout>
          <c:layoutTarget val="inner"/>
          <c:xMode val="edge"/>
          <c:yMode val="edge"/>
          <c:x val="0.17176935616860844"/>
          <c:y val="6.7430936986535475E-2"/>
          <c:w val="0.768750165222153"/>
          <c:h val="0.78007127157885892"/>
        </c:manualLayout>
      </c:layout>
      <c:scatterChart>
        <c:scatterStyle val="lineMarker"/>
        <c:varyColors val="0"/>
        <c:ser>
          <c:idx val="0"/>
          <c:order val="0"/>
          <c:tx>
            <c:v>拼接法</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Comparison!$H$21:$H$44</c:f>
              <c:numCache>
                <c:formatCode>0.0000</c:formatCode>
                <c:ptCount val="24"/>
                <c:pt idx="0">
                  <c:v>7.6817734171350877E-2</c:v>
                </c:pt>
                <c:pt idx="1">
                  <c:v>9.0584609760103411E-3</c:v>
                </c:pt>
                <c:pt idx="2">
                  <c:v>2.3209384403589488E-3</c:v>
                </c:pt>
                <c:pt idx="3">
                  <c:v>1.8225708126943805E-3</c:v>
                </c:pt>
                <c:pt idx="4">
                  <c:v>1.3904958088144423E-3</c:v>
                </c:pt>
                <c:pt idx="5">
                  <c:v>1.8484001784005804E-3</c:v>
                </c:pt>
                <c:pt idx="6">
                  <c:v>2.1378388611891161E-3</c:v>
                </c:pt>
                <c:pt idx="7">
                  <c:v>2.4844867744238945E-3</c:v>
                </c:pt>
                <c:pt idx="8">
                  <c:v>2.9219346368819002E-3</c:v>
                </c:pt>
                <c:pt idx="9">
                  <c:v>3.5281198223472408E-3</c:v>
                </c:pt>
                <c:pt idx="10">
                  <c:v>4.50931796325866E-3</c:v>
                </c:pt>
                <c:pt idx="11">
                  <c:v>6.3763339571665878E-3</c:v>
                </c:pt>
                <c:pt idx="12">
                  <c:v>9.1827800948150583E-3</c:v>
                </c:pt>
                <c:pt idx="13">
                  <c:v>1.4600816449754032E-2</c:v>
                </c:pt>
                <c:pt idx="14">
                  <c:v>2.3658822313461812E-2</c:v>
                </c:pt>
                <c:pt idx="15">
                  <c:v>4.1019689849049586E-2</c:v>
                </c:pt>
                <c:pt idx="16">
                  <c:v>7.2453656902796329E-2</c:v>
                </c:pt>
                <c:pt idx="17">
                  <c:v>0.12753747323135634</c:v>
                </c:pt>
                <c:pt idx="18">
                  <c:v>0.2103330837326238</c:v>
                </c:pt>
                <c:pt idx="19">
                  <c:v>0.31055097017121219</c:v>
                </c:pt>
                <c:pt idx="20">
                  <c:v>0.43340259530090286</c:v>
                </c:pt>
                <c:pt idx="21">
                  <c:v>0.50842026210781877</c:v>
                </c:pt>
                <c:pt idx="22">
                  <c:v>0.54949962338715852</c:v>
                </c:pt>
                <c:pt idx="23">
                  <c:v>0.59389811659118275</c:v>
                </c:pt>
              </c:numCache>
            </c:numRef>
          </c:yVal>
          <c:smooth val="0"/>
          <c:extLst>
            <c:ext xmlns:c16="http://schemas.microsoft.com/office/drawing/2014/chart" uri="{C3380CC4-5D6E-409C-BE32-E72D297353CC}">
              <c16:uniqueId val="{00000000-ED46-4EBD-B15B-E690C0A3A8FD}"/>
            </c:ext>
          </c:extLst>
        </c:ser>
        <c:ser>
          <c:idx val="1"/>
          <c:order val="1"/>
          <c:tx>
            <c:v>布拉斯罗吉特法</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Comparison!$I$21:$I$44</c:f>
              <c:numCache>
                <c:formatCode>0.0000</c:formatCode>
                <c:ptCount val="24"/>
                <c:pt idx="0">
                  <c:v>8.6309244277688837E-2</c:v>
                </c:pt>
                <c:pt idx="1">
                  <c:v>6.6170091284510736E-3</c:v>
                </c:pt>
                <c:pt idx="2">
                  <c:v>1.5885756365736257E-3</c:v>
                </c:pt>
                <c:pt idx="3">
                  <c:v>1.2182623938639093E-3</c:v>
                </c:pt>
                <c:pt idx="4">
                  <c:v>1.7485319110044158E-3</c:v>
                </c:pt>
                <c:pt idx="5">
                  <c:v>2.241931871301288E-3</c:v>
                </c:pt>
                <c:pt idx="6">
                  <c:v>2.492112848505687E-3</c:v>
                </c:pt>
                <c:pt idx="7">
                  <c:v>2.7806749121978241E-3</c:v>
                </c:pt>
                <c:pt idx="8">
                  <c:v>3.1360770577368671E-3</c:v>
                </c:pt>
                <c:pt idx="9">
                  <c:v>3.6248748304145112E-3</c:v>
                </c:pt>
                <c:pt idx="10">
                  <c:v>4.4204107197393858E-3</c:v>
                </c:pt>
                <c:pt idx="11">
                  <c:v>5.9241532511639236E-3</c:v>
                </c:pt>
                <c:pt idx="12">
                  <c:v>8.0152020970764189E-3</c:v>
                </c:pt>
                <c:pt idx="13">
                  <c:v>1.1840552069247823E-2</c:v>
                </c:pt>
                <c:pt idx="14">
                  <c:v>1.7645872343019568E-2</c:v>
                </c:pt>
                <c:pt idx="15">
                  <c:v>2.8035464094136025E-2</c:v>
                </c:pt>
                <c:pt idx="16">
                  <c:v>4.5917755543836404E-2</c:v>
                </c:pt>
                <c:pt idx="17">
                  <c:v>7.8350673340179158E-2</c:v>
                </c:pt>
                <c:pt idx="18">
                  <c:v>0.13367833289032238</c:v>
                </c:pt>
                <c:pt idx="19">
                  <c:v>0.2144356968865466</c:v>
                </c:pt>
                <c:pt idx="20">
                  <c:v>0.32035744850972137</c:v>
                </c:pt>
                <c:pt idx="21">
                  <c:v>0.39533984963032204</c:v>
                </c:pt>
                <c:pt idx="22">
                  <c:v>0.42925939322068191</c:v>
                </c:pt>
                <c:pt idx="23">
                  <c:v>0.46608918084147327</c:v>
                </c:pt>
              </c:numCache>
            </c:numRef>
          </c:yVal>
          <c:smooth val="0"/>
          <c:extLst>
            <c:ext xmlns:c16="http://schemas.microsoft.com/office/drawing/2014/chart" uri="{C3380CC4-5D6E-409C-BE32-E72D297353CC}">
              <c16:uniqueId val="{00000001-ED46-4EBD-B15B-E690C0A3A8FD}"/>
            </c:ext>
          </c:extLst>
        </c:ser>
        <c:ser>
          <c:idx val="2"/>
          <c:order val="2"/>
          <c:tx>
            <c:v>修正的罗吉特法</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Comparison!$J$21:$J$44</c:f>
              <c:numCache>
                <c:formatCode>0.0000</c:formatCode>
                <c:ptCount val="24"/>
                <c:pt idx="0">
                  <c:v>8.4289707302677305E-2</c:v>
                </c:pt>
                <c:pt idx="1">
                  <c:v>7.1351360100862602E-3</c:v>
                </c:pt>
                <c:pt idx="2">
                  <c:v>1.6230418804483895E-3</c:v>
                </c:pt>
                <c:pt idx="3">
                  <c:v>8.0719071985812325E-4</c:v>
                </c:pt>
                <c:pt idx="4">
                  <c:v>9.1541792967604293E-4</c:v>
                </c:pt>
                <c:pt idx="5">
                  <c:v>1.5379193339990921E-3</c:v>
                </c:pt>
                <c:pt idx="6">
                  <c:v>1.8946043810829682E-3</c:v>
                </c:pt>
                <c:pt idx="7">
                  <c:v>2.1229378296119127E-3</c:v>
                </c:pt>
                <c:pt idx="8">
                  <c:v>2.4890248303994361E-3</c:v>
                </c:pt>
                <c:pt idx="9">
                  <c:v>3.0985562713164122E-3</c:v>
                </c:pt>
                <c:pt idx="10">
                  <c:v>4.4041745496739976E-3</c:v>
                </c:pt>
                <c:pt idx="11">
                  <c:v>6.8527292567873953E-3</c:v>
                </c:pt>
                <c:pt idx="12">
                  <c:v>1.1056321598047831E-2</c:v>
                </c:pt>
                <c:pt idx="13">
                  <c:v>1.6789598124313836E-2</c:v>
                </c:pt>
                <c:pt idx="14">
                  <c:v>2.8475147263135204E-2</c:v>
                </c:pt>
                <c:pt idx="15">
                  <c:v>4.8187115012701148E-2</c:v>
                </c:pt>
                <c:pt idx="16">
                  <c:v>8.0237154328968982E-2</c:v>
                </c:pt>
                <c:pt idx="17">
                  <c:v>0.12900112149586007</c:v>
                </c:pt>
                <c:pt idx="18">
                  <c:v>0.20740129041666971</c:v>
                </c:pt>
              </c:numCache>
            </c:numRef>
          </c:yVal>
          <c:smooth val="0"/>
          <c:extLst>
            <c:ext xmlns:c16="http://schemas.microsoft.com/office/drawing/2014/chart" uri="{C3380CC4-5D6E-409C-BE32-E72D297353CC}">
              <c16:uniqueId val="{00000002-ED46-4EBD-B15B-E690C0A3A8FD}"/>
            </c:ext>
          </c:extLst>
        </c:ser>
        <c:ser>
          <c:idx val="3"/>
          <c:order val="3"/>
          <c:tx>
            <c:v>对数二次法</c:v>
          </c:tx>
          <c:marker>
            <c:symbol val="none"/>
          </c:marker>
          <c:xVal>
            <c:numRef>
              <c:f>Comparison!$B$21:$B$44</c:f>
              <c:numCache>
                <c:formatCode>General</c:formatCode>
                <c:ptCount val="24"/>
                <c:pt idx="0">
                  <c:v>0</c:v>
                </c:pt>
                <c:pt idx="1">
                  <c:v>1</c:v>
                </c:pt>
                <c:pt idx="2">
                  <c:v>5</c:v>
                </c:pt>
                <c:pt idx="3">
                  <c:v>10</c:v>
                </c:pt>
                <c:pt idx="4">
                  <c:v>15</c:v>
                </c:pt>
                <c:pt idx="5">
                  <c:v>20</c:v>
                </c:pt>
                <c:pt idx="6">
                  <c:v>25</c:v>
                </c:pt>
                <c:pt idx="7">
                  <c:v>30</c:v>
                </c:pt>
                <c:pt idx="8">
                  <c:v>35</c:v>
                </c:pt>
                <c:pt idx="9">
                  <c:v>40</c:v>
                </c:pt>
                <c:pt idx="10">
                  <c:v>45</c:v>
                </c:pt>
                <c:pt idx="11">
                  <c:v>50</c:v>
                </c:pt>
                <c:pt idx="12">
                  <c:v>55</c:v>
                </c:pt>
                <c:pt idx="13">
                  <c:v>60</c:v>
                </c:pt>
                <c:pt idx="14">
                  <c:v>65</c:v>
                </c:pt>
                <c:pt idx="15">
                  <c:v>70</c:v>
                </c:pt>
                <c:pt idx="16">
                  <c:v>75</c:v>
                </c:pt>
                <c:pt idx="17">
                  <c:v>80</c:v>
                </c:pt>
                <c:pt idx="18">
                  <c:v>85</c:v>
                </c:pt>
                <c:pt idx="19">
                  <c:v>90</c:v>
                </c:pt>
                <c:pt idx="20">
                  <c:v>95</c:v>
                </c:pt>
                <c:pt idx="21">
                  <c:v>100</c:v>
                </c:pt>
                <c:pt idx="22">
                  <c:v>105</c:v>
                </c:pt>
                <c:pt idx="23">
                  <c:v>110</c:v>
                </c:pt>
              </c:numCache>
            </c:numRef>
          </c:xVal>
          <c:yVal>
            <c:numRef>
              <c:f>Comparison!$K$21:$K$44</c:f>
              <c:numCache>
                <c:formatCode>0.0000</c:formatCode>
                <c:ptCount val="24"/>
                <c:pt idx="0">
                  <c:v>8.1326873597937249E-2</c:v>
                </c:pt>
                <c:pt idx="1">
                  <c:v>8.6297779033410477E-3</c:v>
                </c:pt>
                <c:pt idx="2">
                  <c:v>1.2051799690089306E-3</c:v>
                </c:pt>
                <c:pt idx="3">
                  <c:v>6.9231456255116502E-4</c:v>
                </c:pt>
                <c:pt idx="4">
                  <c:v>8.5054249193373304E-4</c:v>
                </c:pt>
                <c:pt idx="5">
                  <c:v>1.0361528160210715E-3</c:v>
                </c:pt>
                <c:pt idx="6">
                  <c:v>1.2922592821156113E-3</c:v>
                </c:pt>
                <c:pt idx="7">
                  <c:v>1.7335349135165E-3</c:v>
                </c:pt>
                <c:pt idx="8">
                  <c:v>2.4499321903017966E-3</c:v>
                </c:pt>
                <c:pt idx="9">
                  <c:v>3.5147732536885577E-3</c:v>
                </c:pt>
                <c:pt idx="10">
                  <c:v>4.9747683362760539E-3</c:v>
                </c:pt>
                <c:pt idx="11">
                  <c:v>7.4312778626860702E-3</c:v>
                </c:pt>
                <c:pt idx="12">
                  <c:v>1.1085833013593021E-2</c:v>
                </c:pt>
                <c:pt idx="13">
                  <c:v>1.9038279146284906E-2</c:v>
                </c:pt>
                <c:pt idx="14">
                  <c:v>3.1791663525468784E-2</c:v>
                </c:pt>
                <c:pt idx="15">
                  <c:v>5.6453940430485801E-2</c:v>
                </c:pt>
                <c:pt idx="16">
                  <c:v>9.512184237963929E-2</c:v>
                </c:pt>
                <c:pt idx="17">
                  <c:v>0.15005189364458194</c:v>
                </c:pt>
                <c:pt idx="18">
                  <c:v>0.22286286029806654</c:v>
                </c:pt>
                <c:pt idx="19">
                  <c:v>0.31689901558384326</c:v>
                </c:pt>
                <c:pt idx="20">
                  <c:v>0.43583783206837795</c:v>
                </c:pt>
                <c:pt idx="21">
                  <c:v>0.55900264254266074</c:v>
                </c:pt>
                <c:pt idx="22">
                  <c:v>0.67742479371050501</c:v>
                </c:pt>
                <c:pt idx="23">
                  <c:v>0.76648346028499825</c:v>
                </c:pt>
              </c:numCache>
            </c:numRef>
          </c:yVal>
          <c:smooth val="0"/>
          <c:extLst>
            <c:ext xmlns:c16="http://schemas.microsoft.com/office/drawing/2014/chart" uri="{C3380CC4-5D6E-409C-BE32-E72D297353CC}">
              <c16:uniqueId val="{00000003-ED46-4EBD-B15B-E690C0A3A8FD}"/>
            </c:ext>
          </c:extLst>
        </c:ser>
        <c:dLbls>
          <c:showLegendKey val="0"/>
          <c:showVal val="0"/>
          <c:showCatName val="0"/>
          <c:showSerName val="0"/>
          <c:showPercent val="0"/>
          <c:showBubbleSize val="0"/>
        </c:dLbls>
        <c:axId val="140192384"/>
        <c:axId val="140206848"/>
      </c:scatterChart>
      <c:valAx>
        <c:axId val="140192384"/>
        <c:scaling>
          <c:orientation val="minMax"/>
          <c:max val="100"/>
          <c:min val="0"/>
        </c:scaling>
        <c:delete val="0"/>
        <c:axPos val="b"/>
        <c:title>
          <c:tx>
            <c:rich>
              <a:bodyPr/>
              <a:lstStyle/>
              <a:p>
                <a:pPr>
                  <a:defRPr/>
                </a:pPr>
                <a:r>
                  <a:rPr lang="zh-CN" altLang="en-US"/>
                  <a:t>年龄</a:t>
                </a:r>
                <a:endParaRPr lang="en-US"/>
              </a:p>
            </c:rich>
          </c:tx>
          <c:overlay val="0"/>
        </c:title>
        <c:numFmt formatCode="General" sourceLinked="1"/>
        <c:majorTickMark val="out"/>
        <c:minorTickMark val="none"/>
        <c:tickLblPos val="nextTo"/>
        <c:crossAx val="140206848"/>
        <c:crossesAt val="1.0000000000000026E-4"/>
        <c:crossBetween val="midCat"/>
        <c:majorUnit val="20"/>
      </c:valAx>
      <c:valAx>
        <c:axId val="140206848"/>
        <c:scaling>
          <c:logBase val="10"/>
          <c:orientation val="minMax"/>
          <c:max val="1"/>
          <c:min val="1.0000000000000026E-4"/>
        </c:scaling>
        <c:delete val="0"/>
        <c:axPos val="l"/>
        <c:majorGridlines>
          <c:spPr>
            <a:ln>
              <a:solidFill>
                <a:schemeClr val="bg1">
                  <a:lumMod val="85000"/>
                </a:schemeClr>
              </a:solidFill>
            </a:ln>
          </c:spPr>
        </c:majorGridlines>
        <c:numFmt formatCode="#,##0.0000" sourceLinked="0"/>
        <c:majorTickMark val="out"/>
        <c:minorTickMark val="none"/>
        <c:tickLblPos val="nextTo"/>
        <c:crossAx val="140192384"/>
        <c:crosses val="autoZero"/>
        <c:crossBetween val="midCat"/>
      </c:valAx>
    </c:plotArea>
    <c:legend>
      <c:legendPos val="b"/>
      <c:legendEntry>
        <c:idx val="0"/>
        <c:delete val="1"/>
      </c:legendEntry>
      <c:legendEntry>
        <c:idx val="1"/>
        <c:delete val="1"/>
      </c:legendEntry>
      <c:layout>
        <c:manualLayout>
          <c:xMode val="edge"/>
          <c:yMode val="edge"/>
          <c:x val="3.6506739140135448E-2"/>
          <c:y val="0.94401730537168838"/>
          <c:w val="0.91349294212392873"/>
          <c:h val="5.5982694628311673E-2"/>
        </c:manualLayout>
      </c:layout>
      <c:overlay val="0"/>
    </c:legend>
    <c:plotVisOnly val="1"/>
    <c:dispBlanksAs val="gap"/>
    <c:showDLblsOverMax val="0"/>
  </c:chart>
  <c:spPr>
    <a:solidFill>
      <a:srgbClr val="D7E6E6"/>
    </a:solidFill>
    <a:ln>
      <a:no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11</xdr:col>
      <xdr:colOff>209550</xdr:colOff>
      <xdr:row>3</xdr:row>
      <xdr:rowOff>0</xdr:rowOff>
    </xdr:from>
    <xdr:to>
      <xdr:col>20</xdr:col>
      <xdr:colOff>352425</xdr:colOff>
      <xdr:row>30</xdr:row>
      <xdr:rowOff>114300</xdr:rowOff>
    </xdr:to>
    <xdr:pic>
      <xdr:nvPicPr>
        <xdr:cNvPr id="5" name="Picture 4">
          <a:extLst>
            <a:ext uri="{FF2B5EF4-FFF2-40B4-BE49-F238E27FC236}">
              <a16:creationId xmlns:a16="http://schemas.microsoft.com/office/drawing/2014/main" id="{81E5B71E-1F8A-45B3-B8C8-5DF19B2AF9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0" y="590550"/>
          <a:ext cx="5629275" cy="530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914398</xdr:colOff>
      <xdr:row>1</xdr:row>
      <xdr:rowOff>57149</xdr:rowOff>
    </xdr:from>
    <xdr:to>
      <xdr:col>21</xdr:col>
      <xdr:colOff>9524</xdr:colOff>
      <xdr:row>35</xdr:row>
      <xdr:rowOff>62399</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838199</xdr:colOff>
      <xdr:row>3</xdr:row>
      <xdr:rowOff>190500</xdr:rowOff>
    </xdr:from>
    <xdr:to>
      <xdr:col>19</xdr:col>
      <xdr:colOff>352424</xdr:colOff>
      <xdr:row>37</xdr:row>
      <xdr:rowOff>157650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361949</xdr:colOff>
      <xdr:row>2</xdr:row>
      <xdr:rowOff>152400</xdr:rowOff>
    </xdr:from>
    <xdr:to>
      <xdr:col>28</xdr:col>
      <xdr:colOff>66674</xdr:colOff>
      <xdr:row>35</xdr:row>
      <xdr:rowOff>205275</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20</xdr:col>
      <xdr:colOff>466724</xdr:colOff>
      <xdr:row>2</xdr:row>
      <xdr:rowOff>85725</xdr:rowOff>
    </xdr:from>
    <xdr:to>
      <xdr:col>31</xdr:col>
      <xdr:colOff>209549</xdr:colOff>
      <xdr:row>36</xdr:row>
      <xdr:rowOff>81450</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12</xdr:row>
      <xdr:rowOff>25206</xdr:rowOff>
    </xdr:from>
    <xdr:to>
      <xdr:col>15</xdr:col>
      <xdr:colOff>571500</xdr:colOff>
      <xdr:row>47</xdr:row>
      <xdr:rowOff>47625</xdr:rowOff>
    </xdr:to>
    <xdr:grpSp>
      <xdr:nvGrpSpPr>
        <xdr:cNvPr id="5" name="Group 4">
          <a:extLst>
            <a:ext uri="{FF2B5EF4-FFF2-40B4-BE49-F238E27FC236}">
              <a16:creationId xmlns:a16="http://schemas.microsoft.com/office/drawing/2014/main" id="{00000000-0008-0000-0600-000005000000}"/>
            </a:ext>
          </a:extLst>
        </xdr:cNvPr>
        <xdr:cNvGrpSpPr/>
      </xdr:nvGrpSpPr>
      <xdr:grpSpPr>
        <a:xfrm>
          <a:off x="0" y="2478846"/>
          <a:ext cx="9509760" cy="5889819"/>
          <a:chOff x="209549" y="0"/>
          <a:chExt cx="9714975" cy="5853600"/>
        </a:xfrm>
      </xdr:grpSpPr>
      <xdr:graphicFrame macro="">
        <xdr:nvGraphicFramePr>
          <xdr:cNvPr id="6" name="Chart 5">
            <a:extLst>
              <a:ext uri="{FF2B5EF4-FFF2-40B4-BE49-F238E27FC236}">
                <a16:creationId xmlns:a16="http://schemas.microsoft.com/office/drawing/2014/main" id="{00000000-0008-0000-0600-000006000000}"/>
              </a:ext>
            </a:extLst>
          </xdr:cNvPr>
          <xdr:cNvGraphicFramePr>
            <a:graphicFrameLocks/>
          </xdr:cNvGraphicFramePr>
        </xdr:nvGraphicFramePr>
        <xdr:xfrm>
          <a:off x="209549" y="0"/>
          <a:ext cx="4878001" cy="58536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 name="Chart 6">
            <a:extLst>
              <a:ext uri="{FF2B5EF4-FFF2-40B4-BE49-F238E27FC236}">
                <a16:creationId xmlns:a16="http://schemas.microsoft.com/office/drawing/2014/main" id="{00000000-0008-0000-0600-000007000000}"/>
              </a:ext>
            </a:extLst>
          </xdr:cNvPr>
          <xdr:cNvGraphicFramePr>
            <a:graphicFrameLocks/>
          </xdr:cNvGraphicFramePr>
        </xdr:nvGraphicFramePr>
        <xdr:xfrm>
          <a:off x="5046524" y="0"/>
          <a:ext cx="4878000" cy="58536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fitting-model-life-tables-pair-estimates-child-and-adult-mortalit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hyperlink" Target="http://www.un.org/esa/population/techcoop/DemMod/model_lifetabs/Model_LT_Annex2.pdf" TargetMode="External"/><Relationship Id="rId1" Type="http://schemas.openxmlformats.org/officeDocument/2006/relationships/hyperlink" Target="http://esa.un.org/wpp/Model-Life-Tables/data/MLT_UN2010-130_1y.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tabSelected="1" workbookViewId="0">
      <selection activeCell="B11" sqref="B11"/>
    </sheetView>
  </sheetViews>
  <sheetFormatPr defaultColWidth="9.109375" defaultRowHeight="13.2" x14ac:dyDescent="0.25"/>
  <cols>
    <col min="1" max="1" width="6.6640625" style="22" customWidth="1"/>
    <col min="2" max="2" width="97.6640625" style="24" customWidth="1"/>
    <col min="3" max="3" width="18.44140625" style="22" customWidth="1"/>
    <col min="4" max="4" width="16" style="22" customWidth="1"/>
    <col min="5" max="16384" width="9.109375" style="22"/>
  </cols>
  <sheetData>
    <row r="1" spans="1:5" ht="15.6" x14ac:dyDescent="0.3">
      <c r="A1" s="196" t="s">
        <v>31</v>
      </c>
      <c r="B1" s="197"/>
    </row>
    <row r="3" spans="1:5" ht="15" x14ac:dyDescent="0.25">
      <c r="A3" s="198" t="s">
        <v>30</v>
      </c>
      <c r="B3" s="198"/>
    </row>
    <row r="4" spans="1:5" ht="13.8" x14ac:dyDescent="0.25">
      <c r="A4" s="202" t="s">
        <v>7</v>
      </c>
      <c r="B4" s="203"/>
      <c r="C4" s="204"/>
    </row>
    <row r="6" spans="1:5" ht="36" customHeight="1" x14ac:dyDescent="0.25">
      <c r="A6" s="199" t="s">
        <v>120</v>
      </c>
      <c r="B6" s="199"/>
    </row>
    <row r="7" spans="1:5" ht="15" customHeight="1" x14ac:dyDescent="0.25">
      <c r="A7" s="195"/>
      <c r="B7" s="195"/>
      <c r="C7" s="29"/>
    </row>
    <row r="8" spans="1:5" ht="33.75" customHeight="1" x14ac:dyDescent="0.25">
      <c r="A8" s="195" t="s">
        <v>121</v>
      </c>
      <c r="B8" s="195"/>
    </row>
    <row r="9" spans="1:5" ht="15" x14ac:dyDescent="0.25">
      <c r="B9" s="27"/>
      <c r="C9" s="23"/>
    </row>
    <row r="10" spans="1:5" ht="15" x14ac:dyDescent="0.25">
      <c r="A10" s="25" t="s">
        <v>32</v>
      </c>
      <c r="B10" s="26"/>
      <c r="C10" s="23"/>
    </row>
    <row r="11" spans="1:5" ht="15.6" thickBot="1" x14ac:dyDescent="0.3">
      <c r="A11" s="25"/>
      <c r="B11" s="26"/>
      <c r="C11" s="23"/>
    </row>
    <row r="12" spans="1:5" ht="15.6" x14ac:dyDescent="0.25">
      <c r="A12" s="35" t="s">
        <v>42</v>
      </c>
      <c r="B12" s="26"/>
      <c r="C12" s="200" t="s">
        <v>33</v>
      </c>
      <c r="D12" s="201"/>
    </row>
    <row r="13" spans="1:5" ht="15.75" customHeight="1" x14ac:dyDescent="0.25">
      <c r="B13" s="27" t="s">
        <v>43</v>
      </c>
      <c r="C13" s="136" t="s">
        <v>34</v>
      </c>
      <c r="D13" s="180" t="s">
        <v>100</v>
      </c>
    </row>
    <row r="14" spans="1:5" ht="7.5" customHeight="1" x14ac:dyDescent="0.25">
      <c r="B14" s="129"/>
      <c r="C14" s="136"/>
      <c r="D14" s="125"/>
    </row>
    <row r="15" spans="1:5" ht="15.75" customHeight="1" x14ac:dyDescent="0.25">
      <c r="A15" s="35" t="s">
        <v>44</v>
      </c>
      <c r="B15" s="129"/>
      <c r="C15" s="136" t="s">
        <v>35</v>
      </c>
      <c r="D15" s="137" t="s">
        <v>36</v>
      </c>
    </row>
    <row r="16" spans="1:5" ht="7.5" customHeight="1" x14ac:dyDescent="0.25">
      <c r="A16" s="195"/>
      <c r="B16" s="195"/>
      <c r="C16" s="124"/>
      <c r="D16" s="125"/>
      <c r="E16" s="36"/>
    </row>
    <row r="17" spans="1:5" ht="15.6" x14ac:dyDescent="0.25">
      <c r="A17" s="194" t="s">
        <v>41</v>
      </c>
      <c r="B17" s="194"/>
      <c r="C17" s="124"/>
      <c r="D17" s="125"/>
      <c r="E17" s="36"/>
    </row>
    <row r="18" spans="1:5" ht="18.600000000000001" x14ac:dyDescent="0.4">
      <c r="A18" s="25"/>
      <c r="B18" s="25" t="s">
        <v>119</v>
      </c>
      <c r="C18" s="119" t="s">
        <v>37</v>
      </c>
      <c r="D18" s="126">
        <v>0.11799999999999999</v>
      </c>
    </row>
    <row r="19" spans="1:5" ht="18.600000000000001" x14ac:dyDescent="0.4">
      <c r="A19" s="25"/>
      <c r="B19" s="26"/>
      <c r="C19" s="119" t="s">
        <v>38</v>
      </c>
      <c r="D19" s="126">
        <v>0.108</v>
      </c>
    </row>
    <row r="20" spans="1:5" ht="7.5" customHeight="1" x14ac:dyDescent="0.25">
      <c r="A20" s="25"/>
      <c r="B20" s="26"/>
      <c r="C20" s="119"/>
      <c r="D20" s="127"/>
    </row>
    <row r="21" spans="1:5" ht="15.6" x14ac:dyDescent="0.25">
      <c r="A21" s="35" t="s">
        <v>40</v>
      </c>
      <c r="B21" s="26"/>
      <c r="C21" s="120"/>
      <c r="D21" s="121"/>
    </row>
    <row r="22" spans="1:5" ht="18.600000000000001" x14ac:dyDescent="0.25">
      <c r="B22" s="25" t="s">
        <v>45</v>
      </c>
      <c r="C22" s="119" t="s">
        <v>39</v>
      </c>
      <c r="D22" s="131" t="s">
        <v>6</v>
      </c>
    </row>
    <row r="23" spans="1:5" ht="7.5" customHeight="1" x14ac:dyDescent="0.25">
      <c r="A23" s="28"/>
      <c r="C23" s="119"/>
      <c r="D23" s="127"/>
    </row>
    <row r="24" spans="1:5" ht="15" x14ac:dyDescent="0.25">
      <c r="A24" s="25"/>
      <c r="B24" s="26" t="str">
        <f>"在右边单元格内分别输入男女性的" &amp;D22&amp;" 值。"</f>
        <v>在右边单元格内分别输入男女性的45q15 值。</v>
      </c>
      <c r="C24" s="119" t="str">
        <f>"男性 "&amp;D22</f>
        <v>男性 45q15</v>
      </c>
      <c r="D24" s="126">
        <v>0.23519999999999999</v>
      </c>
    </row>
    <row r="25" spans="1:5" ht="15.6" thickBot="1" x14ac:dyDescent="0.3">
      <c r="A25" s="25"/>
      <c r="B25" s="26"/>
      <c r="C25" s="122" t="str">
        <f>"女性 " &amp;D22</f>
        <v>女性 45q15</v>
      </c>
      <c r="D25" s="128">
        <v>0.15809999999999999</v>
      </c>
    </row>
    <row r="26" spans="1:5" ht="15" x14ac:dyDescent="0.25">
      <c r="A26" s="25"/>
      <c r="B26" s="26"/>
      <c r="C26" s="23"/>
    </row>
    <row r="27" spans="1:5" ht="15" x14ac:dyDescent="0.25">
      <c r="A27" s="25"/>
      <c r="B27" s="26"/>
      <c r="C27" s="23"/>
    </row>
    <row r="28" spans="1:5" ht="15" x14ac:dyDescent="0.25">
      <c r="A28" s="25"/>
      <c r="B28" s="26"/>
      <c r="C28" s="23"/>
    </row>
    <row r="29" spans="1:5" ht="15" x14ac:dyDescent="0.25">
      <c r="A29" s="25"/>
      <c r="B29" s="26"/>
      <c r="C29" s="23"/>
    </row>
    <row r="30" spans="1:5" ht="15" x14ac:dyDescent="0.25">
      <c r="A30" s="25"/>
      <c r="B30" s="26"/>
      <c r="C30" s="23"/>
    </row>
    <row r="31" spans="1:5" ht="15" x14ac:dyDescent="0.25">
      <c r="A31" s="25"/>
      <c r="B31" s="26"/>
    </row>
    <row r="32" spans="1:5" x14ac:dyDescent="0.25">
      <c r="A32" s="28"/>
    </row>
    <row r="33" spans="1:2" ht="15" x14ac:dyDescent="0.25">
      <c r="A33" s="25"/>
      <c r="B33" s="26"/>
    </row>
  </sheetData>
  <sheetProtection selectLockedCells="1"/>
  <mergeCells count="9">
    <mergeCell ref="C12:D12"/>
    <mergeCell ref="A4:C4"/>
    <mergeCell ref="A17:B17"/>
    <mergeCell ref="A8:B8"/>
    <mergeCell ref="A16:B16"/>
    <mergeCell ref="A1:B1"/>
    <mergeCell ref="A3:B3"/>
    <mergeCell ref="A6:B6"/>
    <mergeCell ref="A7:B7"/>
  </mergeCells>
  <phoneticPr fontId="35" type="noConversion"/>
  <dataValidations count="3">
    <dataValidation type="list" showInputMessage="1" showErrorMessage="1" promptTitle="Select standard" sqref="D13">
      <formula1>"普林斯顿北部,普林斯顿南部,普林斯顿东部,普林斯顿西部,联合国一般,联合国拉美,联合国智利,联合国南亚, 联合国远东"</formula1>
    </dataValidation>
    <dataValidation type="list" showInputMessage="1" showErrorMessage="1" sqref="D22">
      <formula1>"45q15,35q15"</formula1>
    </dataValidation>
    <dataValidation type="list" showDropDown="1" showInputMessage="1" showErrorMessage="1" sqref="A4:B4">
      <formula1>"http://demographicestimation.iussp.org/content/fitting-model-life-tables-pair-estimates-child-and-adult-mortality"</formula1>
    </dataValidation>
  </dataValidations>
  <hyperlinks>
    <hyperlink ref="A4" r:id="rId1"/>
  </hyperlinks>
  <pageMargins left="0.7" right="0.7" top="0.75" bottom="0.75" header="0.3" footer="0.3"/>
  <pageSetup paperSize="9" orientation="portrait" horizontalDpi="200"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election activeCell="I23" sqref="I23"/>
    </sheetView>
  </sheetViews>
  <sheetFormatPr defaultColWidth="9.109375" defaultRowHeight="15" x14ac:dyDescent="0.25"/>
  <cols>
    <col min="1" max="1" width="3.44140625" style="132" customWidth="1"/>
    <col min="2" max="9" width="9.109375" style="132"/>
    <col min="10" max="10" width="11.109375" style="132" customWidth="1"/>
    <col min="11" max="16384" width="9.109375" style="132"/>
  </cols>
  <sheetData>
    <row r="1" spans="1:10" x14ac:dyDescent="0.25">
      <c r="A1" s="205" t="s">
        <v>46</v>
      </c>
      <c r="B1" s="206"/>
      <c r="C1" s="206"/>
      <c r="D1" s="206"/>
      <c r="E1" s="206"/>
      <c r="F1" s="206"/>
      <c r="G1" s="206"/>
      <c r="H1" s="206"/>
      <c r="I1" s="206"/>
      <c r="J1" s="207"/>
    </row>
    <row r="3" spans="1:10" x14ac:dyDescent="0.25">
      <c r="A3" s="208" t="s">
        <v>47</v>
      </c>
      <c r="B3" s="208"/>
      <c r="C3" s="208"/>
      <c r="D3" s="208"/>
      <c r="E3" s="208"/>
      <c r="F3" s="208"/>
      <c r="G3" s="208"/>
      <c r="H3" s="208"/>
      <c r="I3" s="208"/>
      <c r="J3" s="208"/>
    </row>
    <row r="4" spans="1:10" x14ac:dyDescent="0.25">
      <c r="A4" s="208"/>
      <c r="B4" s="208"/>
      <c r="C4" s="208"/>
      <c r="D4" s="208"/>
      <c r="E4" s="208"/>
      <c r="F4" s="208"/>
      <c r="G4" s="208"/>
      <c r="H4" s="208"/>
      <c r="I4" s="208"/>
      <c r="J4" s="208"/>
    </row>
    <row r="6" spans="1:10" x14ac:dyDescent="0.25">
      <c r="A6" s="133" t="s">
        <v>122</v>
      </c>
    </row>
    <row r="7" spans="1:10" x14ac:dyDescent="0.25">
      <c r="B7" s="132" t="s">
        <v>48</v>
      </c>
    </row>
    <row r="8" spans="1:10" ht="15.6" x14ac:dyDescent="0.3">
      <c r="B8" s="132" t="s">
        <v>49</v>
      </c>
      <c r="C8" s="132" t="s">
        <v>51</v>
      </c>
    </row>
    <row r="9" spans="1:10" ht="15.6" x14ac:dyDescent="0.3">
      <c r="B9" s="132" t="s">
        <v>52</v>
      </c>
      <c r="C9" s="132" t="s">
        <v>50</v>
      </c>
    </row>
    <row r="10" spans="1:10" ht="15.6" x14ac:dyDescent="0.3">
      <c r="B10" s="132" t="s">
        <v>53</v>
      </c>
      <c r="C10" s="132" t="s">
        <v>123</v>
      </c>
    </row>
    <row r="12" spans="1:10" ht="15.6" x14ac:dyDescent="0.3">
      <c r="A12" s="132" t="s">
        <v>118</v>
      </c>
    </row>
    <row r="13" spans="1:10" ht="15.6" x14ac:dyDescent="0.3">
      <c r="B13" s="132" t="s">
        <v>54</v>
      </c>
      <c r="C13" s="132" t="s">
        <v>124</v>
      </c>
    </row>
    <row r="14" spans="1:10" x14ac:dyDescent="0.25">
      <c r="C14" s="132" t="s">
        <v>58</v>
      </c>
    </row>
    <row r="15" spans="1:10" x14ac:dyDescent="0.25">
      <c r="B15" s="132" t="s">
        <v>55</v>
      </c>
      <c r="C15" s="132" t="s">
        <v>125</v>
      </c>
    </row>
    <row r="16" spans="1:10" x14ac:dyDescent="0.25">
      <c r="C16" s="132" t="s">
        <v>59</v>
      </c>
    </row>
    <row r="17" spans="2:3" x14ac:dyDescent="0.25">
      <c r="B17" s="132" t="s">
        <v>57</v>
      </c>
      <c r="C17" s="132" t="s">
        <v>60</v>
      </c>
    </row>
    <row r="18" spans="2:3" x14ac:dyDescent="0.25">
      <c r="C18" s="132" t="s">
        <v>61</v>
      </c>
    </row>
    <row r="19" spans="2:3" ht="15.6" x14ac:dyDescent="0.3">
      <c r="B19" s="132" t="s">
        <v>56</v>
      </c>
      <c r="C19" s="132" t="s">
        <v>62</v>
      </c>
    </row>
  </sheetData>
  <mergeCells count="2">
    <mergeCell ref="A1:J1"/>
    <mergeCell ref="A3:J4"/>
  </mergeCells>
  <phoneticPr fontId="35"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37"/>
  <sheetViews>
    <sheetView zoomScaleNormal="100" workbookViewId="0">
      <selection activeCell="K11" sqref="K11"/>
    </sheetView>
  </sheetViews>
  <sheetFormatPr defaultColWidth="9.109375" defaultRowHeight="13.8" x14ac:dyDescent="0.25"/>
  <cols>
    <col min="1" max="1" width="9.109375" style="18"/>
    <col min="2" max="2" width="2.88671875" style="18" bestFit="1" customWidth="1"/>
    <col min="3" max="3" width="10.88671875" style="18" customWidth="1"/>
    <col min="4" max="4" width="13.33203125" style="18" customWidth="1"/>
    <col min="5" max="6" width="9.109375" style="18"/>
    <col min="7" max="7" width="3.88671875" style="18" customWidth="1"/>
    <col min="8" max="8" width="9.109375" style="18"/>
    <col min="9" max="9" width="13.44140625" style="18" customWidth="1"/>
    <col min="10" max="10" width="9.109375" style="18" customWidth="1"/>
    <col min="11" max="11" width="10" style="18" customWidth="1"/>
    <col min="12" max="12" width="17.44140625" style="18" bestFit="1" customWidth="1"/>
    <col min="13" max="15" width="9.109375" style="18" customWidth="1"/>
    <col min="16" max="16" width="3.88671875" style="18" customWidth="1"/>
    <col min="17" max="19" width="9.109375" style="18"/>
    <col min="20" max="20" width="9.109375" style="18" customWidth="1"/>
    <col min="21" max="16384" width="9.109375" style="18"/>
  </cols>
  <sheetData>
    <row r="1" spans="1:24" x14ac:dyDescent="0.25">
      <c r="A1" s="212" t="s">
        <v>63</v>
      </c>
      <c r="B1" s="213"/>
      <c r="C1" s="213"/>
      <c r="D1" s="213"/>
      <c r="E1" s="213"/>
      <c r="F1" s="213"/>
      <c r="G1" s="213"/>
      <c r="H1" s="213"/>
      <c r="I1" s="213"/>
      <c r="J1" s="213"/>
      <c r="K1" s="213"/>
      <c r="L1" s="33"/>
    </row>
    <row r="2" spans="1:24" x14ac:dyDescent="0.25">
      <c r="A2" s="30"/>
      <c r="B2" s="30"/>
      <c r="C2" s="30"/>
      <c r="D2" s="30"/>
      <c r="E2" s="30"/>
      <c r="F2" s="30"/>
      <c r="G2" s="30"/>
      <c r="H2" s="30"/>
      <c r="I2" s="30"/>
      <c r="J2" s="30"/>
      <c r="K2" s="30"/>
      <c r="L2" s="30"/>
    </row>
    <row r="3" spans="1:24" s="38" customFormat="1" x14ac:dyDescent="0.25">
      <c r="A3" s="87"/>
      <c r="B3" s="87"/>
      <c r="C3" s="209" t="s">
        <v>64</v>
      </c>
      <c r="D3" s="209"/>
      <c r="E3" s="210"/>
      <c r="F3" s="210"/>
      <c r="G3" s="42"/>
      <c r="H3" s="209" t="s">
        <v>65</v>
      </c>
      <c r="I3" s="209"/>
      <c r="J3" s="211"/>
      <c r="K3" s="211"/>
    </row>
    <row r="4" spans="1:24" s="21" customFormat="1" ht="15.6" x14ac:dyDescent="0.35">
      <c r="A4" s="50"/>
      <c r="B4" s="50"/>
      <c r="C4" s="50"/>
      <c r="D4" s="73" t="s">
        <v>14</v>
      </c>
      <c r="E4" s="134">
        <f>Introduction!D18</f>
        <v>0.11799999999999999</v>
      </c>
      <c r="F4" s="88"/>
      <c r="G4" s="89"/>
      <c r="H4" s="89"/>
      <c r="I4" s="90" t="s">
        <v>14</v>
      </c>
      <c r="J4" s="134">
        <f>Introduction!D19</f>
        <v>0.108</v>
      </c>
      <c r="K4" s="78"/>
      <c r="M4" s="21" t="str">
        <f>"拟合的"&amp; Introduction!D15&amp;"生命表 "&amp;" - 拼接法"</f>
        <v>拟合的肯尼亚 c.1985生命表  - 拼接法</v>
      </c>
    </row>
    <row r="5" spans="1:24" s="21" customFormat="1" ht="13.2" x14ac:dyDescent="0.25">
      <c r="A5" s="50"/>
      <c r="B5" s="50"/>
      <c r="C5" s="50"/>
      <c r="D5" s="91" t="str">
        <f>Introduction!D22</f>
        <v>45q15</v>
      </c>
      <c r="E5" s="134">
        <f>Introduction!D24</f>
        <v>0.23519999999999999</v>
      </c>
      <c r="F5" s="89"/>
      <c r="G5" s="89"/>
      <c r="H5" s="89"/>
      <c r="I5" s="37" t="str">
        <f>Introduction!D22</f>
        <v>45q15</v>
      </c>
      <c r="J5" s="134">
        <f>Introduction!D25</f>
        <v>0.15809999999999999</v>
      </c>
      <c r="K5" s="78"/>
      <c r="T5" s="80"/>
      <c r="U5" s="80"/>
      <c r="V5" s="80"/>
      <c r="W5" s="80"/>
      <c r="X5" s="80"/>
    </row>
    <row r="6" spans="1:24" s="21" customFormat="1" ht="13.2" x14ac:dyDescent="0.25">
      <c r="A6" s="92"/>
      <c r="B6" s="92"/>
      <c r="C6" s="50"/>
      <c r="D6" s="73" t="s">
        <v>15</v>
      </c>
      <c r="E6" s="89">
        <f>0.5*LN(E4/(1-E4))</f>
        <v>-1.0057537157705632</v>
      </c>
      <c r="F6" s="89"/>
      <c r="G6" s="89"/>
      <c r="H6" s="89"/>
      <c r="I6" s="90" t="s">
        <v>15</v>
      </c>
      <c r="J6" s="89">
        <f>0.5*LN(J4/(1-J4))</f>
        <v>-1.0556674527278949</v>
      </c>
      <c r="K6" s="89"/>
      <c r="T6" s="80"/>
      <c r="U6" s="80"/>
      <c r="V6" s="80"/>
      <c r="W6" s="80"/>
      <c r="X6" s="80"/>
    </row>
    <row r="7" spans="1:24" s="21" customFormat="1" ht="13.2" x14ac:dyDescent="0.25">
      <c r="A7" s="92"/>
      <c r="B7" s="92"/>
      <c r="C7" s="50"/>
      <c r="D7" s="77" t="s">
        <v>66</v>
      </c>
      <c r="E7" s="89">
        <f ca="1">E6-C14</f>
        <v>0.13862995772861075</v>
      </c>
      <c r="F7" s="89"/>
      <c r="G7" s="89"/>
      <c r="H7" s="89"/>
      <c r="I7" s="77" t="s">
        <v>66</v>
      </c>
      <c r="J7" s="89">
        <f ca="1">J6-H14</f>
        <v>2.8576986824238038E-2</v>
      </c>
      <c r="K7" s="89"/>
      <c r="T7" s="80"/>
      <c r="U7" s="80"/>
      <c r="V7" s="80"/>
      <c r="W7" s="80"/>
      <c r="X7" s="80"/>
    </row>
    <row r="8" spans="1:24" s="21" customFormat="1" ht="13.2" x14ac:dyDescent="0.25">
      <c r="A8" s="92"/>
      <c r="B8" s="92"/>
      <c r="C8" s="50"/>
      <c r="D8" s="77" t="s">
        <v>67</v>
      </c>
      <c r="E8" s="89">
        <f ca="1">0.5*LN((1+EXP(2*C16))/(1+EXP(2*IF(D5="35q15",C23,C25)))/(1-((1+EXP(2*C16))/(1+EXP(2*IF(D5="35q15",C23,C25))))))-0.5*LN((1-E5)/E5)</f>
        <v>-0.10121358989376006</v>
      </c>
      <c r="F8" s="89"/>
      <c r="G8" s="89"/>
      <c r="H8" s="89"/>
      <c r="I8" s="77" t="s">
        <v>67</v>
      </c>
      <c r="J8" s="89">
        <f ca="1">0.5*LN((1+EXP(2*H16))/(1+EXP(2*IF(I5="35q15",H23,H25)))/(1-((1+EXP(2*H16))/(1+EXP(2*IF(I5="35q15",H23,H25))))))-0.5*LN((1-J5)/J5)</f>
        <v>-0.30421736423752044</v>
      </c>
      <c r="K8" s="89"/>
      <c r="T8" s="80"/>
      <c r="U8" s="80"/>
      <c r="V8" s="80"/>
      <c r="W8" s="80"/>
      <c r="X8" s="80"/>
    </row>
    <row r="9" spans="1:24" s="21" customFormat="1" ht="15.6" x14ac:dyDescent="0.35">
      <c r="A9" s="95"/>
      <c r="B9" s="95"/>
      <c r="C9" s="50"/>
      <c r="D9" s="83" t="s">
        <v>16</v>
      </c>
      <c r="E9" s="96">
        <f t="array" aca="1" ref="E9" ca="1">SUM((E12:E34-E13:E35)/F12:F34+E35/F35)</f>
        <v>59.697358006135069</v>
      </c>
      <c r="F9" s="97"/>
      <c r="G9" s="89"/>
      <c r="H9" s="89"/>
      <c r="I9" s="90" t="s">
        <v>16</v>
      </c>
      <c r="J9" s="96">
        <f t="array" aca="1" ref="J9" ca="1">SUM((J12:J34-J13:J35)/K12:K34+J35/K35)</f>
        <v>64.264929319436163</v>
      </c>
      <c r="K9" s="97"/>
      <c r="T9" s="80"/>
      <c r="U9" s="80"/>
      <c r="V9" s="80"/>
      <c r="W9" s="80"/>
      <c r="X9" s="80"/>
    </row>
    <row r="10" spans="1:24" s="21" customFormat="1" ht="16.5" customHeight="1" x14ac:dyDescent="0.25">
      <c r="A10" s="95"/>
      <c r="B10" s="95"/>
      <c r="C10" s="183" t="s">
        <v>69</v>
      </c>
      <c r="D10" s="183" t="s">
        <v>71</v>
      </c>
      <c r="E10" s="214" t="s">
        <v>72</v>
      </c>
      <c r="F10" s="214"/>
      <c r="G10" s="154"/>
      <c r="H10" s="183" t="s">
        <v>69</v>
      </c>
      <c r="I10" s="183" t="s">
        <v>71</v>
      </c>
      <c r="J10" s="214" t="s">
        <v>72</v>
      </c>
      <c r="K10" s="214"/>
      <c r="T10" s="80"/>
      <c r="U10" s="80"/>
      <c r="V10" s="80"/>
      <c r="W10" s="80"/>
      <c r="X10" s="80"/>
    </row>
    <row r="11" spans="1:24" s="38" customFormat="1" ht="15.75" customHeight="1" x14ac:dyDescent="0.35">
      <c r="A11" s="85" t="s">
        <v>68</v>
      </c>
      <c r="B11" s="184" t="s">
        <v>8</v>
      </c>
      <c r="C11" s="161" t="s">
        <v>70</v>
      </c>
      <c r="D11" s="161" t="s">
        <v>70</v>
      </c>
      <c r="E11" s="110" t="s">
        <v>23</v>
      </c>
      <c r="F11" s="86" t="s">
        <v>17</v>
      </c>
      <c r="G11" s="185"/>
      <c r="H11" s="161" t="s">
        <v>70</v>
      </c>
      <c r="I11" s="161" t="s">
        <v>70</v>
      </c>
      <c r="J11" s="110" t="s">
        <v>24</v>
      </c>
      <c r="K11" s="86" t="s">
        <v>17</v>
      </c>
      <c r="T11" s="43"/>
      <c r="U11" s="43"/>
      <c r="V11" s="43"/>
      <c r="W11" s="43"/>
      <c r="X11" s="43"/>
    </row>
    <row r="12" spans="1:24" s="21" customFormat="1" ht="13.2" x14ac:dyDescent="0.25">
      <c r="A12" s="99">
        <v>0</v>
      </c>
      <c r="B12" s="100">
        <f>A13-A12</f>
        <v>1</v>
      </c>
      <c r="C12" s="92"/>
      <c r="D12" s="92"/>
      <c r="E12" s="101">
        <v>1</v>
      </c>
      <c r="F12" s="52">
        <f ca="1">(E12-E13)/(1-(1-IF(E13&gt;0.9,0.9572-2.7733*(E12-E13),0.33))*(E12-E13))</f>
        <v>9.1476227923835723E-2</v>
      </c>
      <c r="G12" s="92"/>
      <c r="H12" s="92"/>
      <c r="I12" s="92"/>
      <c r="J12" s="101">
        <v>1</v>
      </c>
      <c r="K12" s="52">
        <f ca="1">(J12-J13)/(1-(1-IF(J13&gt;0.9,0.9495-2.899*(J12-J13),0.35))*(J12-J13))</f>
        <v>7.6817734171350877E-2</v>
      </c>
      <c r="T12" s="80"/>
      <c r="U12" s="80"/>
      <c r="V12" s="80"/>
      <c r="W12" s="80"/>
      <c r="X12" s="80"/>
    </row>
    <row r="13" spans="1:24" s="21" customFormat="1" ht="13.2" x14ac:dyDescent="0.25">
      <c r="A13" s="99">
        <v>1</v>
      </c>
      <c r="B13" s="100">
        <f t="shared" ref="B13:B34" si="0">A14-A13</f>
        <v>4</v>
      </c>
      <c r="C13" s="89">
        <f ca="1">OFFSET(Standards!$A$5,ROW()-ROW($A$13),MATCH(Introduction!$D$13,Standards!$B$2:'Standards'!$AH$2,0))</f>
        <v>-1.3008882857309396</v>
      </c>
      <c r="D13" s="89"/>
      <c r="E13" s="102">
        <f ca="1">1/(1+EXP(2*(E$7+C13)))</f>
        <v>0.91088724621576911</v>
      </c>
      <c r="F13" s="55">
        <f ca="1">(E13-E14)/(E13*1.4+E14*2.6)</f>
        <v>8.095198140918955E-3</v>
      </c>
      <c r="G13" s="92"/>
      <c r="H13" s="89">
        <f ca="1">OFFSET(Standards!$A$5,ROW()-ROW(H$13),MATCH(Introduction!$D$13,Standards!$B$2:'Standards'!$AH$2,0)+1)</f>
        <v>-1.2828282862915501</v>
      </c>
      <c r="I13" s="89"/>
      <c r="J13" s="102">
        <f ca="1">1/(1+EXP(2*(J$7+H13)))</f>
        <v>0.92473573833391109</v>
      </c>
      <c r="K13" s="55">
        <f ca="1">(J13-J14)/(J13*1.4+J14*2.6)</f>
        <v>9.0584609760103411E-3</v>
      </c>
      <c r="T13" s="80"/>
      <c r="U13" s="80"/>
      <c r="V13" s="80"/>
      <c r="W13" s="80"/>
      <c r="X13" s="80"/>
    </row>
    <row r="14" spans="1:24" s="21" customFormat="1" ht="13.2" x14ac:dyDescent="0.25">
      <c r="A14" s="99">
        <v>5</v>
      </c>
      <c r="B14" s="100">
        <f t="shared" si="0"/>
        <v>5</v>
      </c>
      <c r="C14" s="89">
        <f ca="1">OFFSET(Standards!$A$5,ROW()-ROW($A$13)+3,MATCH(Introduction!$D$13,Standards!$B$2:'Standards'!$AH$2,0))</f>
        <v>-1.1443836734991739</v>
      </c>
      <c r="D14" s="89"/>
      <c r="E14" s="102">
        <f ca="1">1/(1+EXP(2*(E$7+C14)))</f>
        <v>0.88200000000000001</v>
      </c>
      <c r="F14" s="55">
        <f t="shared" ref="F14:F24" ca="1" si="1">(E14-E15)/(E14*2.7+E15*2.3)</f>
        <v>2.3397966408769781E-3</v>
      </c>
      <c r="G14" s="92"/>
      <c r="H14" s="89">
        <f ca="1">OFFSET(Standards!$A$5,ROW()-ROW(H$13)+3,MATCH(Introduction!$D$13,Standards!$B$2:'Standards'!$AH$2,0)+1)</f>
        <v>-1.0842444395521329</v>
      </c>
      <c r="I14" s="89"/>
      <c r="J14" s="102">
        <f ca="1">1/(1+EXP(2*(J$7+H14)))</f>
        <v>0.89200000000000013</v>
      </c>
      <c r="K14" s="55">
        <f t="shared" ref="K14:K24" ca="1" si="2">(J14-J15)/(J14*2.7+J15*2.3)</f>
        <v>2.3209384403589488E-3</v>
      </c>
      <c r="T14" s="80"/>
      <c r="U14" s="80"/>
      <c r="V14" s="80"/>
      <c r="W14" s="80"/>
      <c r="X14" s="80"/>
    </row>
    <row r="15" spans="1:24" s="21" customFormat="1" ht="13.2" x14ac:dyDescent="0.25">
      <c r="A15" s="99">
        <v>10</v>
      </c>
      <c r="B15" s="100">
        <f t="shared" si="0"/>
        <v>5</v>
      </c>
      <c r="C15" s="89">
        <f ca="1">OFFSET(Standards!$A$5,ROW()-ROW($A$13)+3,MATCH(Introduction!$D$13,Standards!$B$2:'Standards'!$AH$2,0))</f>
        <v>-1.0968312103313975</v>
      </c>
      <c r="D15" s="89"/>
      <c r="E15" s="102">
        <f ca="1">1/(1+EXP(2*(E$7+C15)))</f>
        <v>0.87173672893818865</v>
      </c>
      <c r="F15" s="55">
        <f t="shared" ca="1" si="1"/>
        <v>1.780968195441848E-3</v>
      </c>
      <c r="G15" s="92"/>
      <c r="H15" s="89">
        <f ca="1">OFFSET(Standards!$A$5,ROW()-ROW(H$13)+3,MATCH(Introduction!$D$13,Standards!$B$2:'Standards'!$AH$2,0)+1)</f>
        <v>-1.0329081865332934</v>
      </c>
      <c r="I15" s="89"/>
      <c r="J15" s="102">
        <f ca="1">1/(1+EXP(2*(J$7+H15)))</f>
        <v>0.88170357848513081</v>
      </c>
      <c r="K15" s="55">
        <f t="shared" ca="1" si="2"/>
        <v>1.8225708126943805E-3</v>
      </c>
      <c r="T15" s="80"/>
      <c r="U15" s="80"/>
      <c r="V15" s="80"/>
      <c r="W15" s="80"/>
      <c r="X15" s="80"/>
    </row>
    <row r="16" spans="1:24" s="21" customFormat="1" ht="13.2" x14ac:dyDescent="0.25">
      <c r="A16" s="99">
        <v>15</v>
      </c>
      <c r="B16" s="100">
        <f t="shared" si="0"/>
        <v>5</v>
      </c>
      <c r="C16" s="89">
        <f ca="1">OFFSET(Standards!$A$5,ROW()-ROW($A$13)+3,MATCH(Introduction!$D$13,Standards!$B$2:'Standards'!$AH$2,0))</f>
        <v>-1.0631132391187417</v>
      </c>
      <c r="D16" s="89"/>
      <c r="E16" s="102">
        <f ca="1">1/(1+EXP(2*(E$7+C16)))</f>
        <v>0.86400571995955366</v>
      </c>
      <c r="F16" s="55">
        <f t="shared" ca="1" si="1"/>
        <v>1.824591305148268E-3</v>
      </c>
      <c r="G16" s="92"/>
      <c r="H16" s="89">
        <f ca="1">OFFSET(Standards!$A$5,ROW()-ROW(H$13)+3,MATCH(Introduction!$D$13,Standards!$B$2:'Standards'!$AH$2,0)+1)</f>
        <v>-0.99562585121052949</v>
      </c>
      <c r="I16" s="89"/>
      <c r="J16" s="102">
        <f ca="1">1/(1+EXP(2*(J$7+H16)))</f>
        <v>0.87370228317991505</v>
      </c>
      <c r="K16" s="55">
        <f t="shared" ca="1" si="2"/>
        <v>1.3904958088144423E-3</v>
      </c>
      <c r="T16" s="80"/>
      <c r="U16" s="80"/>
      <c r="V16" s="80"/>
      <c r="W16" s="80"/>
      <c r="X16" s="80"/>
    </row>
    <row r="17" spans="1:24" s="21" customFormat="1" ht="13.2" x14ac:dyDescent="0.25">
      <c r="A17" s="99">
        <v>20</v>
      </c>
      <c r="B17" s="100">
        <f t="shared" si="0"/>
        <v>5</v>
      </c>
      <c r="C17" s="89">
        <f ca="1">OFFSET(Standards!$A$5,ROW()-ROW($A$13)+3,MATCH(Introduction!$D$13,Standards!$B$2:'Standards'!$AH$2,0))</f>
        <v>-1.0130422551600544</v>
      </c>
      <c r="D17" s="89">
        <f t="shared" ref="D17:D35" ca="1" si="3">-0.5*LN(((1+EXP(2*C$16))/(1+EXP(2*C17)))/(1-(1+EXP(2*C$16))/(1+EXP(2*C17))))</f>
        <v>-2.2447977979863984</v>
      </c>
      <c r="E17" s="102">
        <f t="shared" ref="E17:E35" ca="1" si="4">E$16/(1+EXP(2*(E$8+D17)))</f>
        <v>0.85615637359138008</v>
      </c>
      <c r="F17" s="55">
        <f t="shared" ca="1" si="1"/>
        <v>2.6093117209247483E-3</v>
      </c>
      <c r="G17" s="92"/>
      <c r="H17" s="89">
        <f ca="1">OFFSET(Standards!$A$5,ROW()-ROW(H$13)+3,MATCH(Introduction!$D$13,Standards!$B$2:'Standards'!$AH$2,0)+1)</f>
        <v>-0.94491044364009291</v>
      </c>
      <c r="I17" s="89">
        <f t="shared" ref="I17:I35" ca="1" si="5">-0.5*LN(((1+EXP(2*H$16))/(1+EXP(2*H17)))/(1-(1+EXP(2*H$16))/(1+EXP(2*H17))))</f>
        <v>-2.1782304268202566</v>
      </c>
      <c r="J17" s="102">
        <f t="shared" ref="J17:J35" ca="1" si="6">J$16/(1+EXP(2*(J$8+I17)))</f>
        <v>0.86764725120748243</v>
      </c>
      <c r="K17" s="55">
        <f t="shared" ca="1" si="2"/>
        <v>1.8484001784005804E-3</v>
      </c>
      <c r="T17" s="80"/>
      <c r="U17" s="80"/>
      <c r="V17" s="80"/>
      <c r="W17" s="80"/>
      <c r="X17" s="80"/>
    </row>
    <row r="18" spans="1:24" s="21" customFormat="1" ht="13.2" x14ac:dyDescent="0.25">
      <c r="A18" s="99">
        <v>25</v>
      </c>
      <c r="B18" s="100">
        <f t="shared" si="0"/>
        <v>5</v>
      </c>
      <c r="C18" s="89">
        <f ca="1">OFFSET(Standards!$A$5,ROW()-ROW($A$13)+3,MATCH(Introduction!$D$13,Standards!$B$2:'Standards'!$AH$2,0))</f>
        <v>-0.94848666240099744</v>
      </c>
      <c r="D18" s="89">
        <f t="shared" ca="1" si="3"/>
        <v>-1.7975154468597054</v>
      </c>
      <c r="E18" s="102">
        <f t="shared" ca="1" si="4"/>
        <v>0.8450531145755461</v>
      </c>
      <c r="F18" s="55">
        <f t="shared" ca="1" si="1"/>
        <v>2.7462509149051087E-3</v>
      </c>
      <c r="G18" s="92"/>
      <c r="H18" s="89">
        <f ca="1">OFFSET(Standards!$A$5,ROW()-ROW(H$13)+3,MATCH(Introduction!$D$13,Standards!$B$2:'Standards'!$AH$2,0)+1)</f>
        <v>-0.88412226434856211</v>
      </c>
      <c r="I18" s="89">
        <f t="shared" ca="1" si="5"/>
        <v>-1.7531014989441198</v>
      </c>
      <c r="J18" s="102">
        <f t="shared" ca="1" si="6"/>
        <v>0.85966240069583255</v>
      </c>
      <c r="K18" s="55">
        <f t="shared" ca="1" si="2"/>
        <v>2.1378388611891161E-3</v>
      </c>
      <c r="T18" s="80"/>
      <c r="U18" s="80"/>
      <c r="V18" s="80"/>
      <c r="W18" s="80"/>
      <c r="X18" s="80"/>
    </row>
    <row r="19" spans="1:24" s="21" customFormat="1" ht="13.2" x14ac:dyDescent="0.25">
      <c r="A19" s="99">
        <v>30</v>
      </c>
      <c r="B19" s="100">
        <f t="shared" si="0"/>
        <v>5</v>
      </c>
      <c r="C19" s="89">
        <f ca="1">OFFSET(Standards!$A$5,ROW()-ROW($A$13)+3,MATCH(Introduction!$D$13,Standards!$B$2:'Standards'!$AH$2,0))</f>
        <v>-0.88773038554625583</v>
      </c>
      <c r="D19" s="89">
        <f t="shared" ca="1" si="3"/>
        <v>-1.5530253112990868</v>
      </c>
      <c r="E19" s="102">
        <f t="shared" ca="1" si="4"/>
        <v>0.83352230805262884</v>
      </c>
      <c r="F19" s="55">
        <f t="shared" ca="1" si="1"/>
        <v>3.111115010125144E-3</v>
      </c>
      <c r="G19" s="92"/>
      <c r="H19" s="89">
        <f ca="1">OFFSET(Standards!$A$5,ROW()-ROW(H$13)+3,MATCH(Introduction!$D$13,Standards!$B$2:'Standards'!$AH$2,0)+1)</f>
        <v>-0.82136257147134217</v>
      </c>
      <c r="I19" s="89">
        <f t="shared" ca="1" si="5"/>
        <v>-1.4969739777690159</v>
      </c>
      <c r="J19" s="102">
        <f t="shared" ca="1" si="6"/>
        <v>0.85051826424486998</v>
      </c>
      <c r="K19" s="55">
        <f t="shared" ca="1" si="2"/>
        <v>2.4844867744238945E-3</v>
      </c>
      <c r="T19" s="80"/>
      <c r="U19" s="80"/>
      <c r="V19" s="80"/>
      <c r="W19" s="80"/>
      <c r="X19" s="80"/>
    </row>
    <row r="20" spans="1:24" s="21" customFormat="1" ht="13.2" x14ac:dyDescent="0.25">
      <c r="A20" s="99">
        <v>35</v>
      </c>
      <c r="B20" s="100">
        <f t="shared" si="0"/>
        <v>5</v>
      </c>
      <c r="C20" s="89">
        <f ca="1">OFFSET(Standards!$A$5,ROW()-ROW($A$13)+3,MATCH(Introduction!$D$13,Standards!$B$2:'Standards'!$AH$2,0))</f>
        <v>-0.8259381775987652</v>
      </c>
      <c r="D20" s="89">
        <f t="shared" ca="1" si="3"/>
        <v>-1.3690973345528907</v>
      </c>
      <c r="E20" s="102">
        <f t="shared" ca="1" si="4"/>
        <v>0.82064850853644333</v>
      </c>
      <c r="F20" s="55">
        <f t="shared" ca="1" si="1"/>
        <v>3.8888538202553713E-3</v>
      </c>
      <c r="G20" s="92"/>
      <c r="H20" s="89">
        <f ca="1">OFFSET(Standards!$A$5,ROW()-ROW(H$13)+3,MATCH(Introduction!$D$13,Standards!$B$2:'Standards'!$AH$2,0)+1)</f>
        <v>-0.75642199010305966</v>
      </c>
      <c r="I20" s="89">
        <f t="shared" ca="1" si="5"/>
        <v>-1.3038981723419656</v>
      </c>
      <c r="J20" s="102">
        <f t="shared" ca="1" si="6"/>
        <v>0.84001278899319842</v>
      </c>
      <c r="K20" s="55">
        <f t="shared" ca="1" si="2"/>
        <v>2.9219346368819002E-3</v>
      </c>
      <c r="T20" s="80"/>
      <c r="U20" s="80"/>
      <c r="V20" s="80"/>
      <c r="W20" s="80"/>
      <c r="X20" s="80"/>
    </row>
    <row r="21" spans="1:24" s="21" customFormat="1" ht="13.2" x14ac:dyDescent="0.25">
      <c r="A21" s="99">
        <v>40</v>
      </c>
      <c r="B21" s="100">
        <f t="shared" si="0"/>
        <v>5</v>
      </c>
      <c r="C21" s="89">
        <f ca="1">OFFSET(Standards!$A$5,ROW()-ROW($A$13)+3,MATCH(Introduction!$D$13,Standards!$B$2:'Standards'!$AH$2,0))</f>
        <v>-0.75696780176204026</v>
      </c>
      <c r="D21" s="89">
        <f t="shared" ca="1" si="3"/>
        <v>-1.203874018559727</v>
      </c>
      <c r="E21" s="102">
        <f t="shared" ca="1" si="4"/>
        <v>0.80483305724866616</v>
      </c>
      <c r="F21" s="55">
        <f t="shared" ca="1" si="1"/>
        <v>5.2154750027624628E-3</v>
      </c>
      <c r="G21" s="92"/>
      <c r="H21" s="89">
        <f ca="1">OFFSET(Standards!$A$5,ROW()-ROW(H$13)+3,MATCH(Introduction!$D$13,Standards!$B$2:'Standards'!$AH$2,0)+1)</f>
        <v>-0.68862800696556059</v>
      </c>
      <c r="I21" s="89">
        <f t="shared" ca="1" si="5"/>
        <v>-1.1421685999985574</v>
      </c>
      <c r="J21" s="102">
        <f t="shared" ca="1" si="6"/>
        <v>0.8278224015604202</v>
      </c>
      <c r="K21" s="55">
        <f t="shared" ca="1" si="2"/>
        <v>3.5281198223472408E-3</v>
      </c>
      <c r="T21" s="80"/>
      <c r="U21" s="80"/>
      <c r="V21" s="80"/>
      <c r="W21" s="80"/>
      <c r="X21" s="80"/>
    </row>
    <row r="22" spans="1:24" s="21" customFormat="1" ht="13.2" x14ac:dyDescent="0.25">
      <c r="A22" s="99">
        <v>45</v>
      </c>
      <c r="B22" s="100">
        <f t="shared" si="0"/>
        <v>5</v>
      </c>
      <c r="C22" s="89">
        <f ca="1">OFFSET(Standards!$A$5,ROW()-ROW($A$13)+3,MATCH(Introduction!$D$13,Standards!$B$2:'Standards'!$AH$2,0))</f>
        <v>-0.67555110779524841</v>
      </c>
      <c r="D22" s="89">
        <f t="shared" ca="1" si="3"/>
        <v>-1.0405889292468355</v>
      </c>
      <c r="E22" s="102">
        <f t="shared" ca="1" si="4"/>
        <v>0.78409390224364595</v>
      </c>
      <c r="F22" s="55">
        <f t="shared" ca="1" si="1"/>
        <v>7.3082071831008164E-3</v>
      </c>
      <c r="G22" s="92"/>
      <c r="H22" s="89">
        <f ca="1">OFFSET(Standards!$A$5,ROW()-ROW(H$13)+3,MATCH(Introduction!$D$13,Standards!$B$2:'Standards'!$AH$2,0)+1)</f>
        <v>-0.61631192568392912</v>
      </c>
      <c r="I22" s="89">
        <f t="shared" ca="1" si="5"/>
        <v>-0.99614534934660259</v>
      </c>
      <c r="J22" s="102">
        <f t="shared" ca="1" si="6"/>
        <v>0.81333666548771077</v>
      </c>
      <c r="K22" s="55">
        <f t="shared" ca="1" si="2"/>
        <v>4.50931796325866E-3</v>
      </c>
      <c r="T22" s="80"/>
      <c r="U22" s="80"/>
      <c r="V22" s="80"/>
      <c r="W22" s="80"/>
      <c r="X22" s="80"/>
    </row>
    <row r="23" spans="1:24" s="21" customFormat="1" ht="13.2" x14ac:dyDescent="0.25">
      <c r="A23" s="99">
        <v>50</v>
      </c>
      <c r="B23" s="100">
        <f t="shared" si="0"/>
        <v>5</v>
      </c>
      <c r="C23" s="89">
        <f ca="1">OFFSET(Standards!$A$5,ROW()-ROW($A$13)+3,MATCH(Introduction!$D$13,Standards!$B$2:'Standards'!$AH$2,0))</f>
        <v>-0.57720150892943201</v>
      </c>
      <c r="D23" s="89">
        <f t="shared" ca="1" si="3"/>
        <v>-0.87127040419234936</v>
      </c>
      <c r="E23" s="102">
        <f t="shared" ca="1" si="4"/>
        <v>0.7559159387102824</v>
      </c>
      <c r="F23" s="55">
        <f t="shared" ca="1" si="1"/>
        <v>1.0739017444557693E-2</v>
      </c>
      <c r="G23" s="92"/>
      <c r="H23" s="89">
        <f ca="1">OFFSET(Standards!$A$5,ROW()-ROW(H$13)+3,MATCH(Introduction!$D$13,Standards!$B$2:'Standards'!$AH$2,0)+1)</f>
        <v>-0.53540369879947558</v>
      </c>
      <c r="I23" s="89">
        <f t="shared" ca="1" si="5"/>
        <v>-0.85342419337202913</v>
      </c>
      <c r="J23" s="102">
        <f t="shared" ca="1" si="6"/>
        <v>0.79518693598137735</v>
      </c>
      <c r="K23" s="55">
        <f t="shared" ca="1" si="2"/>
        <v>6.3763339571665878E-3</v>
      </c>
      <c r="T23" s="80"/>
      <c r="U23" s="80"/>
      <c r="V23" s="80"/>
      <c r="W23" s="80"/>
      <c r="X23" s="80"/>
    </row>
    <row r="24" spans="1:24" s="21" customFormat="1" ht="13.2" x14ac:dyDescent="0.25">
      <c r="A24" s="99">
        <v>55</v>
      </c>
      <c r="B24" s="100">
        <f t="shared" si="0"/>
        <v>5</v>
      </c>
      <c r="C24" s="89">
        <f ca="1">OFFSET(Standards!$A$5,ROW()-ROW($A$13)+3,MATCH(Introduction!$D$13,Standards!$B$2:'Standards'!$AH$2,0))</f>
        <v>-0.45582055810755873</v>
      </c>
      <c r="D24" s="89">
        <f t="shared" ca="1" si="3"/>
        <v>-0.68824678517032278</v>
      </c>
      <c r="E24" s="102">
        <f t="shared" ca="1" si="4"/>
        <v>0.71630533799197538</v>
      </c>
      <c r="F24" s="55">
        <f t="shared" ca="1" si="1"/>
        <v>1.6073032465832731E-2</v>
      </c>
      <c r="G24" s="92"/>
      <c r="H24" s="89">
        <f ca="1">OFFSET(Standards!$A$5,ROW()-ROW(H$13)+3,MATCH(Introduction!$D$13,Standards!$B$2:'Standards'!$AH$2,0)+1)</f>
        <v>-0.43713086722588262</v>
      </c>
      <c r="I24" s="89">
        <f t="shared" ca="1" si="5"/>
        <v>-0.69931899151679011</v>
      </c>
      <c r="J24" s="102">
        <f t="shared" ca="1" si="6"/>
        <v>0.77020147465503919</v>
      </c>
      <c r="K24" s="55">
        <f t="shared" ca="1" si="2"/>
        <v>9.1827800948150583E-3</v>
      </c>
      <c r="T24" s="80"/>
      <c r="U24" s="80"/>
      <c r="V24" s="80"/>
      <c r="W24" s="80"/>
      <c r="X24" s="80"/>
    </row>
    <row r="25" spans="1:24" s="21" customFormat="1" ht="13.2" x14ac:dyDescent="0.25">
      <c r="A25" s="99">
        <v>60</v>
      </c>
      <c r="B25" s="100">
        <f t="shared" si="0"/>
        <v>5</v>
      </c>
      <c r="C25" s="89">
        <f ca="1">OFFSET(Standards!$A$5,ROW()-ROW($A$13)+3,MATCH(Introduction!$D$13,Standards!$B$2:'Standards'!$AH$2,0))</f>
        <v>-0.30741359919534794</v>
      </c>
      <c r="D25" s="89">
        <f t="shared" ca="1" si="3"/>
        <v>-0.48837548296259981</v>
      </c>
      <c r="E25" s="102">
        <f t="shared" ca="1" si="4"/>
        <v>0.66079157462506666</v>
      </c>
      <c r="F25" s="55">
        <f ca="1">(E25-E26)/(E25*2.6+E26*2.4)</f>
        <v>2.466963645568148E-2</v>
      </c>
      <c r="G25" s="92"/>
      <c r="H25" s="89">
        <f ca="1">OFFSET(Standards!$A$5,ROW()-ROW(H$13)+3,MATCH(Introduction!$D$13,Standards!$B$2:'Standards'!$AH$2,0)+1)</f>
        <v>-0.3186589915311997</v>
      </c>
      <c r="I25" s="89">
        <f t="shared" ca="1" si="5"/>
        <v>-0.53199938482657561</v>
      </c>
      <c r="J25" s="102">
        <f t="shared" ca="1" si="6"/>
        <v>0.73556995220917054</v>
      </c>
      <c r="K25" s="55">
        <f ca="1">(J25-J26)/(J25*2.6+J26*2.4)</f>
        <v>1.4600816449754032E-2</v>
      </c>
    </row>
    <row r="26" spans="1:24" s="21" customFormat="1" ht="13.2" x14ac:dyDescent="0.25">
      <c r="A26" s="99">
        <v>65</v>
      </c>
      <c r="B26" s="100">
        <f t="shared" si="0"/>
        <v>5</v>
      </c>
      <c r="C26" s="89">
        <f ca="1">OFFSET(Standards!$A$5,ROW()-ROW($A$13)+3,MATCH(Introduction!$D$13,Standards!$B$2:'Standards'!$AH$2,0))</f>
        <v>-0.1262176157653675</v>
      </c>
      <c r="D26" s="89">
        <f t="shared" ca="1" si="3"/>
        <v>-0.26590979428110673</v>
      </c>
      <c r="E26" s="102">
        <f t="shared" ca="1" si="4"/>
        <v>0.58384020460572328</v>
      </c>
      <c r="F26" s="55">
        <f ca="1">(E26-E27)/(E26*2.6+E27*2.4)</f>
        <v>3.7964470083016615E-2</v>
      </c>
      <c r="G26" s="92"/>
      <c r="H26" s="89">
        <f ca="1">OFFSET(Standards!$A$5,ROW()-ROW(H$13)+3,MATCH(Introduction!$D$13,Standards!$B$2:'Standards'!$AH$2,0)+1)</f>
        <v>-0.16637525937102554</v>
      </c>
      <c r="I26" s="89">
        <f t="shared" ca="1" si="5"/>
        <v>-0.33598511154523542</v>
      </c>
      <c r="J26" s="102">
        <f t="shared" ca="1" si="6"/>
        <v>0.68368837504314794</v>
      </c>
      <c r="K26" s="55">
        <f ca="1">(J26-J27)/(J26*2.6+J27*2.4)</f>
        <v>2.3658822313461812E-2</v>
      </c>
    </row>
    <row r="27" spans="1:24" s="21" customFormat="1" ht="13.2" x14ac:dyDescent="0.25">
      <c r="A27" s="99">
        <v>70</v>
      </c>
      <c r="B27" s="100">
        <f t="shared" si="0"/>
        <v>5</v>
      </c>
      <c r="C27" s="89">
        <f ca="1">OFFSET(Standards!$A$5,ROW()-ROW($A$13)+3,MATCH(Introduction!$D$13,Standards!$B$2:'Standards'!$AH$2,0))</f>
        <v>9.2839228680570429E-2</v>
      </c>
      <c r="D27" s="89">
        <f t="shared" ca="1" si="3"/>
        <v>-1.567167918711963E-2</v>
      </c>
      <c r="E27" s="102">
        <f t="shared" ca="1" si="4"/>
        <v>0.48226892429866802</v>
      </c>
      <c r="F27" s="55">
        <f ca="1">(E27-E28)/(E27*2.6+E28*2.4)</f>
        <v>5.994514682808242E-2</v>
      </c>
      <c r="G27" s="92"/>
      <c r="H27" s="89">
        <f ca="1">OFFSET(Standards!$A$5,ROW()-ROW(H$13)+3,MATCH(Introduction!$D$13,Standards!$B$2:'Standards'!$AH$2,0)+1)</f>
        <v>2.5988333390229997E-2</v>
      </c>
      <c r="I27" s="89">
        <f t="shared" ca="1" si="5"/>
        <v>-0.10740581701210018</v>
      </c>
      <c r="J27" s="102">
        <f t="shared" ca="1" si="6"/>
        <v>0.60715757478034105</v>
      </c>
      <c r="K27" s="55">
        <f ca="1">(J27-J28)/(J27*2.6+J28*2.4)</f>
        <v>4.1019689849049586E-2</v>
      </c>
    </row>
    <row r="28" spans="1:24" s="21" customFormat="1" ht="13.2" x14ac:dyDescent="0.25">
      <c r="A28" s="99">
        <v>75</v>
      </c>
      <c r="B28" s="100">
        <f t="shared" si="0"/>
        <v>5</v>
      </c>
      <c r="C28" s="89">
        <f ca="1">OFFSET(Standards!$A$5,ROW()-ROW($A$13)+3,MATCH(Introduction!$D$13,Standards!$B$2:'Standards'!$AH$2,0))</f>
        <v>0.36516868997048274</v>
      </c>
      <c r="D28" s="89">
        <f t="shared" ca="1" si="3"/>
        <v>0.2792313610060112</v>
      </c>
      <c r="E28" s="102">
        <f t="shared" ca="1" si="4"/>
        <v>0.35590087933367331</v>
      </c>
      <c r="F28" s="55">
        <f ca="1">(E28-E29)/(E28*2.5+E29*2.5)</f>
        <v>9.638333484988143E-2</v>
      </c>
      <c r="G28" s="92"/>
      <c r="H28" s="89">
        <f ca="1">OFFSET(Standards!$A$5,ROW()-ROW(H$13)+3,MATCH(Introduction!$D$13,Standards!$B$2:'Standards'!$AH$2,0)+1)</f>
        <v>0.27789225951999852</v>
      </c>
      <c r="I28" s="89">
        <f t="shared" ca="1" si="5"/>
        <v>0.17312980200733677</v>
      </c>
      <c r="J28" s="102">
        <f t="shared" ca="1" si="6"/>
        <v>0.49379111462868119</v>
      </c>
      <c r="K28" s="55">
        <f ca="1">(J28-J29)/(J28*2.5+J29*2.5)</f>
        <v>7.2453656902796329E-2</v>
      </c>
    </row>
    <row r="29" spans="1:24" s="21" customFormat="1" ht="13.2" x14ac:dyDescent="0.25">
      <c r="A29" s="99">
        <v>80</v>
      </c>
      <c r="B29" s="100">
        <f t="shared" si="0"/>
        <v>5</v>
      </c>
      <c r="C29" s="89">
        <f ca="1">OFFSET(Standards!$A$5,ROW()-ROW($A$13)+3,MATCH(Introduction!$D$13,Standards!$B$2:'Standards'!$AH$2,0))</f>
        <v>0.71611699723844735</v>
      </c>
      <c r="D29" s="89">
        <f t="shared" ca="1" si="3"/>
        <v>0.64532317794186023</v>
      </c>
      <c r="E29" s="102">
        <f t="shared" ca="1" si="4"/>
        <v>0.21768949624379288</v>
      </c>
      <c r="F29" s="55">
        <f ca="1">(E29-E30)/(E29*2.4+E30*2.6)</f>
        <v>0.152888449858299</v>
      </c>
      <c r="G29" s="92"/>
      <c r="H29" s="89">
        <f ca="1">OFFSET(Standards!$A$5,ROW()-ROW(H$13)+3,MATCH(Introduction!$D$13,Standards!$B$2:'Standards'!$AH$2,0)+1)</f>
        <v>0.60865330973735543</v>
      </c>
      <c r="I29" s="89">
        <f t="shared" ca="1" si="5"/>
        <v>0.52403877495068996</v>
      </c>
      <c r="J29" s="102">
        <f t="shared" ca="1" si="6"/>
        <v>0.34233934162095664</v>
      </c>
      <c r="K29" s="55">
        <f ca="1">(J29-J30)/(J29*2.4+J30*2.6)</f>
        <v>0.12753747323135634</v>
      </c>
    </row>
    <row r="30" spans="1:24" s="21" customFormat="1" ht="13.2" x14ac:dyDescent="0.25">
      <c r="A30" s="95">
        <v>85</v>
      </c>
      <c r="B30" s="100">
        <f t="shared" si="0"/>
        <v>5</v>
      </c>
      <c r="C30" s="89">
        <f ca="1">OFFSET(Standards!$A$5,ROW()-ROW($A$13)+3,MATCH(Introduction!$D$13,Standards!$B$2:'Standards'!$AH$2,0))</f>
        <v>1.1877303063916866</v>
      </c>
      <c r="D30" s="89">
        <f t="shared" ca="1" si="3"/>
        <v>1.1258084450240857</v>
      </c>
      <c r="E30" s="102">
        <f t="shared" ca="1" si="4"/>
        <v>9.8612672627566317E-2</v>
      </c>
      <c r="F30" s="55">
        <f ca="1">(E30-E31)/(E30*2.2+E31*2.8)</f>
        <v>0.23696849555958779</v>
      </c>
      <c r="G30" s="103"/>
      <c r="H30" s="89">
        <f ca="1">OFFSET(Standards!$A$5,ROW()-ROW(H$13)+3,MATCH(Introduction!$D$13,Standards!$B$2:'Standards'!$AH$2,0)+1)</f>
        <v>1.0566921142266263</v>
      </c>
      <c r="I30" s="89">
        <f t="shared" ca="1" si="5"/>
        <v>0.98438788511835951</v>
      </c>
      <c r="J30" s="102">
        <f t="shared" ca="1" si="6"/>
        <v>0.17839679554358304</v>
      </c>
      <c r="K30" s="55">
        <f ca="1">(J30-J31)/(J30*2.2+J31*2.8)</f>
        <v>0.2103330837326238</v>
      </c>
    </row>
    <row r="31" spans="1:24" s="21" customFormat="1" ht="13.2" x14ac:dyDescent="0.25">
      <c r="A31" s="95">
        <v>90</v>
      </c>
      <c r="B31" s="100">
        <f t="shared" si="0"/>
        <v>5</v>
      </c>
      <c r="C31" s="89">
        <f ca="1">OFFSET(Standards!$A$5,ROW()-ROW($A$13)+3,MATCH(Introduction!$D$13,Standards!$B$2:'Standards'!$AH$2,0))</f>
        <v>1.8503663759686619</v>
      </c>
      <c r="D31" s="89">
        <f t="shared" ca="1" si="3"/>
        <v>1.7925449397883626</v>
      </c>
      <c r="E31" s="102">
        <f t="shared" ca="1" si="4"/>
        <v>2.8375428592631813E-2</v>
      </c>
      <c r="F31" s="55">
        <f ca="1">(E31-E32)/(E31*2+E32*3)</f>
        <v>0.33842736189941619</v>
      </c>
      <c r="G31" s="103"/>
      <c r="H31" s="89">
        <f ca="1">OFFSET(Standards!$A$5,ROW()-ROW(H$13)+3,MATCH(Introduction!$D$13,Standards!$B$2:'Standards'!$AH$2,0)+1)</f>
        <v>1.6713786473155037</v>
      </c>
      <c r="I31" s="89">
        <f t="shared" ca="1" si="5"/>
        <v>1.604973034445442</v>
      </c>
      <c r="J31" s="102">
        <f t="shared" ca="1" si="6"/>
        <v>6.0321468367561179E-2</v>
      </c>
      <c r="K31" s="55">
        <f ca="1">(J31-J32)/(J31*2+J32*3)</f>
        <v>0.31055097017121219</v>
      </c>
    </row>
    <row r="32" spans="1:24" s="21" customFormat="1" ht="13.2" x14ac:dyDescent="0.25">
      <c r="A32" s="95">
        <v>95</v>
      </c>
      <c r="B32" s="100">
        <f t="shared" si="0"/>
        <v>5</v>
      </c>
      <c r="C32" s="89">
        <f ca="1">OFFSET(Standards!$A$5,ROW()-ROW($A$13)+3,MATCH(Introduction!$D$13,Standards!$B$2:'Standards'!$AH$2,0))</f>
        <v>2.7783838252094868</v>
      </c>
      <c r="D32" s="89">
        <f t="shared" ca="1" si="3"/>
        <v>2.7218077269088679</v>
      </c>
      <c r="E32" s="102">
        <f t="shared" ca="1" si="4"/>
        <v>4.5499266702981357E-3</v>
      </c>
      <c r="F32" s="55">
        <f ca="1">(E32-E33)/(E32*1.7+E33*3.3)</f>
        <v>0.46306568497169875</v>
      </c>
      <c r="G32" s="103"/>
      <c r="H32" s="89">
        <f ca="1">OFFSET(Standards!$A$5,ROW()-ROW(H$13)+3,MATCH(Introduction!$D$13,Standards!$B$2:'Standards'!$AH$2,0)+1)</f>
        <v>2.5127936410983334</v>
      </c>
      <c r="I32" s="89">
        <f t="shared" ca="1" si="5"/>
        <v>2.4483576821351143</v>
      </c>
      <c r="J32" s="102">
        <f t="shared" ca="1" si="6"/>
        <v>1.183219158875044E-2</v>
      </c>
      <c r="K32" s="55">
        <f ca="1">(J32-J33)/(J32*1.7+J33*3.3)</f>
        <v>0.43340259530090286</v>
      </c>
    </row>
    <row r="33" spans="1:17" s="21" customFormat="1" ht="13.2" x14ac:dyDescent="0.25">
      <c r="A33" s="95">
        <v>100</v>
      </c>
      <c r="B33" s="100">
        <f t="shared" si="0"/>
        <v>5</v>
      </c>
      <c r="C33" s="89">
        <f ca="1">OFFSET(Standards!$A$5,ROW()-ROW($A$13)+3,MATCH(Introduction!$D$13,Standards!$B$2:'Standards'!$AH$2,0))</f>
        <v>4.0180571041339634</v>
      </c>
      <c r="D33" s="89">
        <f t="shared" ca="1" si="3"/>
        <v>3.9616920569817964</v>
      </c>
      <c r="E33" s="102">
        <f t="shared" ca="1" si="4"/>
        <v>3.8296147480268688E-4</v>
      </c>
      <c r="F33" s="55">
        <f ca="1">(E33-E34)/(E33*1.6+E34*3.4)</f>
        <v>0.51982891134795062</v>
      </c>
      <c r="G33" s="103"/>
      <c r="H33" s="89">
        <f ca="1">OFFSET(Standards!$A$5,ROW()-ROW(H$13)+3,MATCH(Introduction!$D$13,Standards!$B$2:'Standards'!$AH$2,0)+1)</f>
        <v>3.6298603411790711</v>
      </c>
      <c r="I33" s="89">
        <f t="shared" ca="1" si="5"/>
        <v>3.5658248995884048</v>
      </c>
      <c r="J33" s="102">
        <f t="shared" ca="1" si="6"/>
        <v>1.2815326557051158E-3</v>
      </c>
      <c r="K33" s="55">
        <f ca="1">(J33-J34)/(J33*1.6+J34*3.4)</f>
        <v>0.50842026210781877</v>
      </c>
      <c r="M33" s="104"/>
      <c r="P33" s="104"/>
      <c r="Q33" s="104"/>
    </row>
    <row r="34" spans="1:17" s="21" customFormat="1" ht="13.2" x14ac:dyDescent="0.25">
      <c r="A34" s="95">
        <v>105</v>
      </c>
      <c r="B34" s="100">
        <f t="shared" si="0"/>
        <v>5</v>
      </c>
      <c r="C34" s="89">
        <f ca="1">OFFSET(Standards!$A$5,ROW()-ROW($A$13)+3,MATCH(Introduction!$D$13,Standards!$B$2:'Standards'!$AH$2,0))</f>
        <v>5.4182862080623648</v>
      </c>
      <c r="D34" s="89">
        <f t="shared" ca="1" si="3"/>
        <v>5.3619392866910101</v>
      </c>
      <c r="E34" s="102">
        <f t="shared" ca="1" si="4"/>
        <v>2.3286093172060155E-5</v>
      </c>
      <c r="F34" s="55">
        <f ca="1">(E34-E35)/(E34*1.5+E35*3.5)</f>
        <v>0.54667570548770705</v>
      </c>
      <c r="G34" s="103"/>
      <c r="H34" s="89">
        <f ca="1">OFFSET(Standards!$A$5,ROW()-ROW(H$13)+3,MATCH(Introduction!$D$13,Standards!$B$2:'Standards'!$AH$2,0)+1)</f>
        <v>4.9719871065152965</v>
      </c>
      <c r="I34" s="89">
        <f t="shared" ca="1" si="5"/>
        <v>4.9079963986536317</v>
      </c>
      <c r="J34" s="102">
        <f t="shared" ca="1" si="6"/>
        <v>8.7604872372951746E-5</v>
      </c>
      <c r="K34" s="55">
        <f ca="1">(J34-J35)/(J34*1.5+J35*3.5)</f>
        <v>0.54949962338715852</v>
      </c>
    </row>
    <row r="35" spans="1:17" s="21" customFormat="1" ht="13.2" x14ac:dyDescent="0.25">
      <c r="A35" s="94">
        <v>110</v>
      </c>
      <c r="B35" s="94"/>
      <c r="C35" s="98">
        <f ca="1">OFFSET(Standards!$A$5,ROW()-ROW($A$13)+3,MATCH(Introduction!$D$13,Standards!$B$2:'Standards'!$AH$2,0))</f>
        <v>6.8103890080331801</v>
      </c>
      <c r="D35" s="98">
        <f t="shared" ca="1" si="3"/>
        <v>6.7540431871973352</v>
      </c>
      <c r="E35" s="105">
        <f t="shared" ca="1" si="4"/>
        <v>1.4386048768439427E-6</v>
      </c>
      <c r="F35" s="61">
        <f ca="1">EXP(2*LN(F34)-LN(F33))</f>
        <v>0.57490901418994422</v>
      </c>
      <c r="G35" s="106"/>
      <c r="H35" s="98">
        <f ca="1">OFFSET(Standards!$A$5,ROW()-ROW(H$13)+3,MATCH(Introduction!$D$13,Standards!$B$2:'Standards'!$AH$2,0)+1)</f>
        <v>6.3777236955329677</v>
      </c>
      <c r="I35" s="98">
        <f t="shared" ca="1" si="5"/>
        <v>6.3137360683247508</v>
      </c>
      <c r="J35" s="105">
        <f t="shared" ca="1" si="6"/>
        <v>5.2669503982998992E-6</v>
      </c>
      <c r="K35" s="61">
        <f ca="1">EXP(2*LN(K34)-LN(K33))</f>
        <v>0.59389811659118275</v>
      </c>
    </row>
    <row r="37" spans="1:17" x14ac:dyDescent="0.25">
      <c r="C37" s="32"/>
      <c r="D37" s="32"/>
      <c r="E37" s="32"/>
      <c r="F37" s="32"/>
      <c r="G37" s="32"/>
      <c r="H37" s="32"/>
      <c r="I37" s="32"/>
      <c r="J37" s="32"/>
    </row>
  </sheetData>
  <mergeCells count="5">
    <mergeCell ref="C3:F3"/>
    <mergeCell ref="H3:K3"/>
    <mergeCell ref="A1:K1"/>
    <mergeCell ref="E10:F10"/>
    <mergeCell ref="J10:K10"/>
  </mergeCells>
  <phoneticPr fontId="35"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40"/>
  <sheetViews>
    <sheetView zoomScaleNormal="100" workbookViewId="0">
      <selection activeCell="K11" sqref="K11"/>
    </sheetView>
  </sheetViews>
  <sheetFormatPr defaultColWidth="9.109375" defaultRowHeight="13.8" x14ac:dyDescent="0.25"/>
  <cols>
    <col min="1" max="1" width="10.6640625" style="146" customWidth="1"/>
    <col min="2" max="2" width="2.88671875" style="146" bestFit="1" customWidth="1"/>
    <col min="3" max="3" width="12.109375" style="146" customWidth="1"/>
    <col min="4" max="5" width="9.109375" style="146" customWidth="1"/>
    <col min="6" max="6" width="2" style="146" customWidth="1"/>
    <col min="7" max="7" width="11" style="146" customWidth="1"/>
    <col min="8" max="9" width="9.109375" style="146" customWidth="1"/>
    <col min="10" max="10" width="12.6640625" style="146" customWidth="1"/>
    <col min="11" max="11" width="14.109375" style="146" customWidth="1"/>
    <col min="12" max="12" width="16" style="146" customWidth="1"/>
    <col min="13" max="13" width="9.109375" style="146" customWidth="1"/>
    <col min="14" max="14" width="3.88671875" style="146" customWidth="1"/>
    <col min="15" max="17" width="9.109375" style="146"/>
    <col min="18" max="18" width="9.109375" style="146" customWidth="1"/>
    <col min="19" max="16384" width="9.109375" style="146"/>
  </cols>
  <sheetData>
    <row r="1" spans="1:22" ht="14.4" thickBot="1" x14ac:dyDescent="0.3">
      <c r="A1" s="215" t="s">
        <v>73</v>
      </c>
      <c r="B1" s="215"/>
      <c r="C1" s="215"/>
      <c r="D1" s="215"/>
      <c r="E1" s="215"/>
      <c r="F1" s="215"/>
      <c r="G1" s="215"/>
      <c r="H1" s="215"/>
      <c r="I1" s="215"/>
      <c r="J1" s="215"/>
      <c r="K1" s="145"/>
    </row>
    <row r="2" spans="1:22" ht="15" thickTop="1" thickBot="1" x14ac:dyDescent="0.3">
      <c r="A2" s="147" t="s">
        <v>74</v>
      </c>
      <c r="B2" s="147"/>
      <c r="C2" s="219" t="s">
        <v>77</v>
      </c>
      <c r="D2" s="219"/>
      <c r="E2" s="219"/>
      <c r="F2" s="219"/>
      <c r="G2" s="219"/>
      <c r="H2" s="219"/>
      <c r="I2" s="219"/>
      <c r="J2" s="219"/>
      <c r="K2" s="148" t="s">
        <v>34</v>
      </c>
      <c r="L2" s="107" t="s">
        <v>22</v>
      </c>
      <c r="M2" s="145" t="str">
        <f>IF($L$2="&lt;default&gt;","&lt;default&gt; 是在Introduction 工作表中设置的模型生命表","")</f>
        <v>&lt;default&gt; 是在Introduction 工作表中设置的模型生命表</v>
      </c>
      <c r="N2" s="145"/>
      <c r="O2" s="145"/>
      <c r="P2" s="145"/>
    </row>
    <row r="3" spans="1:22" ht="14.4" thickTop="1" x14ac:dyDescent="0.25">
      <c r="A3" s="147" t="s">
        <v>75</v>
      </c>
      <c r="B3" s="147"/>
      <c r="C3" s="219" t="s">
        <v>126</v>
      </c>
      <c r="D3" s="219"/>
      <c r="E3" s="219"/>
      <c r="F3" s="219"/>
      <c r="G3" s="219"/>
      <c r="H3" s="219"/>
      <c r="I3" s="219"/>
      <c r="J3" s="219"/>
      <c r="K3" s="145"/>
      <c r="L3" s="145"/>
    </row>
    <row r="4" spans="1:22" x14ac:dyDescent="0.25">
      <c r="A4" s="147" t="s">
        <v>76</v>
      </c>
      <c r="B4" s="145"/>
      <c r="C4" s="145" t="s">
        <v>78</v>
      </c>
      <c r="D4" s="145"/>
      <c r="E4" s="149"/>
      <c r="F4" s="145" t="s">
        <v>79</v>
      </c>
      <c r="G4" s="145"/>
      <c r="H4" s="145"/>
      <c r="I4" s="145"/>
      <c r="J4" s="145"/>
    </row>
    <row r="5" spans="1:22" x14ac:dyDescent="0.25">
      <c r="A5" s="145"/>
      <c r="B5" s="145"/>
      <c r="C5" s="145"/>
      <c r="D5" s="145"/>
      <c r="E5" s="145"/>
      <c r="F5" s="145"/>
      <c r="G5" s="145"/>
      <c r="H5" s="145"/>
      <c r="I5" s="145"/>
      <c r="J5" s="145"/>
      <c r="K5" s="145"/>
      <c r="L5" s="145"/>
    </row>
    <row r="6" spans="1:22" x14ac:dyDescent="0.25">
      <c r="A6" s="150"/>
      <c r="B6" s="150"/>
      <c r="C6" s="216" t="s">
        <v>64</v>
      </c>
      <c r="D6" s="217"/>
      <c r="E6" s="217"/>
      <c r="F6" s="151"/>
      <c r="G6" s="216" t="s">
        <v>65</v>
      </c>
      <c r="H6" s="218"/>
      <c r="I6" s="218"/>
    </row>
    <row r="7" spans="1:22" s="155" customFormat="1" ht="18" customHeight="1" x14ac:dyDescent="0.35">
      <c r="A7" s="152"/>
      <c r="B7" s="152"/>
      <c r="C7" s="153" t="s">
        <v>14</v>
      </c>
      <c r="D7" s="74">
        <f>Introduction!D18</f>
        <v>0.11799999999999999</v>
      </c>
      <c r="E7" s="74"/>
      <c r="F7" s="154"/>
      <c r="G7" s="153" t="s">
        <v>14</v>
      </c>
      <c r="H7" s="74">
        <f>Introduction!D19</f>
        <v>0.108</v>
      </c>
      <c r="I7" s="74"/>
      <c r="M7" s="146" t="str">
        <f>"拟合的"&amp;Introduction!D15&amp;"生命表"&amp;"- 布拉斯罗吉特法"</f>
        <v>拟合的肯尼亚 c.1985生命表- 布拉斯罗吉特法</v>
      </c>
    </row>
    <row r="8" spans="1:22" s="155" customFormat="1" ht="13.2" x14ac:dyDescent="0.25">
      <c r="A8" s="152"/>
      <c r="B8" s="152"/>
      <c r="C8" s="156" t="str">
        <f>Introduction!D22</f>
        <v>45q15</v>
      </c>
      <c r="D8" s="78">
        <f>Introduction!D24</f>
        <v>0.23519999999999999</v>
      </c>
      <c r="E8" s="78"/>
      <c r="F8" s="154"/>
      <c r="G8" s="156" t="str">
        <f>Introduction!D22</f>
        <v>45q15</v>
      </c>
      <c r="H8" s="78">
        <f>Introduction!D25</f>
        <v>0.15809999999999999</v>
      </c>
      <c r="I8" s="78"/>
      <c r="R8" s="157"/>
      <c r="S8" s="157"/>
      <c r="T8" s="157"/>
      <c r="U8" s="157"/>
      <c r="V8" s="157"/>
    </row>
    <row r="9" spans="1:22" s="155" customFormat="1" ht="13.2" x14ac:dyDescent="0.25">
      <c r="A9" s="152"/>
      <c r="B9" s="152"/>
      <c r="C9" s="153" t="s">
        <v>15</v>
      </c>
      <c r="D9" s="78">
        <f>0.5*LN(D7/(1-D7))</f>
        <v>-1.0057537157705632</v>
      </c>
      <c r="E9" s="78"/>
      <c r="F9" s="158"/>
      <c r="G9" s="153" t="s">
        <v>15</v>
      </c>
      <c r="H9" s="78">
        <f>0.5*LN(H7/(1-H7))</f>
        <v>-1.0556674527278949</v>
      </c>
      <c r="I9" s="78"/>
      <c r="R9" s="157"/>
      <c r="S9" s="157"/>
      <c r="T9" s="157"/>
      <c r="U9" s="157"/>
      <c r="V9" s="157"/>
    </row>
    <row r="10" spans="1:22" s="155" customFormat="1" ht="13.2" x14ac:dyDescent="0.25">
      <c r="A10" s="152"/>
      <c r="B10" s="152"/>
      <c r="C10" s="156" t="s">
        <v>0</v>
      </c>
      <c r="D10" s="78">
        <f ca="1">D9-D11*C$17</f>
        <v>-9.5489622139783847E-2</v>
      </c>
      <c r="E10" s="78"/>
      <c r="F10" s="154"/>
      <c r="G10" s="156" t="s">
        <v>0</v>
      </c>
      <c r="H10" s="78">
        <f ca="1">H9-H11*G17</f>
        <v>-0.30313050291512933</v>
      </c>
      <c r="I10" s="78"/>
      <c r="R10" s="157"/>
      <c r="S10" s="157"/>
      <c r="T10" s="157"/>
      <c r="U10" s="157"/>
      <c r="V10" s="157"/>
    </row>
    <row r="11" spans="1:22" s="155" customFormat="1" ht="13.2" x14ac:dyDescent="0.25">
      <c r="B11" s="152"/>
      <c r="C11" s="156" t="s">
        <v>1</v>
      </c>
      <c r="D11" s="78">
        <v>0.79541862987914813</v>
      </c>
      <c r="E11" s="108">
        <f ca="1">(1-D8)-IF(C8="35q15",D26,D28)/D19</f>
        <v>-3.6120222868252227E-7</v>
      </c>
      <c r="F11" s="154"/>
      <c r="G11" s="156" t="s">
        <v>1</v>
      </c>
      <c r="H11" s="78">
        <v>0.69406576816166543</v>
      </c>
      <c r="I11" s="108">
        <f ca="1">(1-H8)-IF(G8="35q15",H26,H28)/H19</f>
        <v>-2.3175966712418727E-7</v>
      </c>
      <c r="R11" s="157"/>
      <c r="S11" s="157"/>
      <c r="T11" s="157"/>
      <c r="U11" s="157"/>
      <c r="V11" s="157"/>
    </row>
    <row r="12" spans="1:22" s="155" customFormat="1" ht="15.6" x14ac:dyDescent="0.35">
      <c r="A12" s="181"/>
      <c r="B12" s="182"/>
      <c r="C12" s="186" t="s">
        <v>16</v>
      </c>
      <c r="D12" s="138">
        <f t="array" aca="1" ref="D12" ca="1">SUM((D15:D37-D16:D38)/E15:E37+D38/E38)</f>
        <v>60.880687073889099</v>
      </c>
      <c r="E12" s="159"/>
      <c r="F12" s="154"/>
      <c r="G12" s="153" t="s">
        <v>16</v>
      </c>
      <c r="H12" s="138">
        <f t="array" aca="1" ref="H12" ca="1">SUM((H15:H37-H16:H38)/I15:I37+H38/I38)</f>
        <v>66.630155543895171</v>
      </c>
      <c r="I12" s="159"/>
      <c r="R12" s="157"/>
      <c r="S12" s="157"/>
      <c r="T12" s="157"/>
      <c r="U12" s="157"/>
      <c r="V12" s="157"/>
    </row>
    <row r="13" spans="1:22" s="155" customFormat="1" ht="15.75" customHeight="1" x14ac:dyDescent="0.25">
      <c r="A13" s="181"/>
      <c r="B13" s="182"/>
      <c r="C13" s="191" t="s">
        <v>69</v>
      </c>
      <c r="D13" s="214" t="s">
        <v>72</v>
      </c>
      <c r="E13" s="214"/>
      <c r="F13" s="154"/>
      <c r="G13" s="191" t="s">
        <v>69</v>
      </c>
      <c r="H13" s="214" t="s">
        <v>72</v>
      </c>
      <c r="I13" s="214"/>
      <c r="R13" s="157"/>
      <c r="S13" s="157"/>
      <c r="T13" s="157"/>
      <c r="U13" s="157"/>
      <c r="V13" s="157"/>
    </row>
    <row r="14" spans="1:22" s="163" customFormat="1" ht="18.75" customHeight="1" x14ac:dyDescent="0.35">
      <c r="A14" s="161" t="s">
        <v>68</v>
      </c>
      <c r="B14" s="162" t="s">
        <v>8</v>
      </c>
      <c r="C14" s="161" t="s">
        <v>70</v>
      </c>
      <c r="D14" s="110" t="s">
        <v>23</v>
      </c>
      <c r="E14" s="86" t="s">
        <v>17</v>
      </c>
      <c r="F14" s="185"/>
      <c r="G14" s="161" t="s">
        <v>70</v>
      </c>
      <c r="H14" s="110" t="s">
        <v>24</v>
      </c>
      <c r="I14" s="86" t="s">
        <v>17</v>
      </c>
      <c r="R14" s="164"/>
      <c r="S14" s="164"/>
      <c r="T14" s="164"/>
      <c r="U14" s="164"/>
      <c r="V14" s="164"/>
    </row>
    <row r="15" spans="1:22" s="155" customFormat="1" ht="13.2" x14ac:dyDescent="0.25">
      <c r="A15" s="165">
        <v>0</v>
      </c>
      <c r="B15" s="166">
        <f>A16-A15</f>
        <v>1</v>
      </c>
      <c r="C15" s="152"/>
      <c r="D15" s="139">
        <v>1</v>
      </c>
      <c r="E15" s="140">
        <f ca="1">(D15-D16)/(1-(1-IF(D16&gt;0.9,0.9572-2.7733*(D15-D16),0.33))*(D15-D16))</f>
        <v>9.7248246596197435E-2</v>
      </c>
      <c r="F15" s="152"/>
      <c r="G15" s="152"/>
      <c r="H15" s="139">
        <v>1</v>
      </c>
      <c r="I15" s="140">
        <f ca="1">(H15-H16)/(1-(1-IF(H16&gt;0.9,0.9495-2.899*(H15-H16),0.35))*(H15-H16))</f>
        <v>8.6309244277688837E-2</v>
      </c>
      <c r="R15" s="157"/>
      <c r="S15" s="157"/>
      <c r="T15" s="157"/>
      <c r="U15" s="157"/>
      <c r="V15" s="157"/>
    </row>
    <row r="16" spans="1:22" s="155" customFormat="1" ht="13.2" x14ac:dyDescent="0.25">
      <c r="A16" s="165">
        <v>1</v>
      </c>
      <c r="B16" s="166">
        <f t="shared" ref="B16:B37" si="0">A17-A16</f>
        <v>4</v>
      </c>
      <c r="C16" s="78">
        <f ca="1">OFFSET(Standards!$A$5,ROW()-ROW($A$16),MATCH(IF($L$2="&lt;default&gt;",Introduction!$D$13,$L$2),Standards!$B$2:'Standards'!$AH$2,0))</f>
        <v>-1.3008882857309396</v>
      </c>
      <c r="D16" s="141">
        <f t="shared" ref="D16:D38" ca="1" si="1">1/(1+EXP(2*(D$9+D$11*(C16-C$17))))</f>
        <v>0.90555076121056699</v>
      </c>
      <c r="E16" s="142">
        <f ca="1">(D16-D17)/(D16*1.4+D17*2.6)</f>
        <v>6.6135783683970795E-3</v>
      </c>
      <c r="F16" s="152"/>
      <c r="G16" s="78">
        <f ca="1">OFFSET(Standards!$A$5,ROW()-ROW(G$16),MATCH(IF($L$2="&lt;default&gt;",Introduction!$D$13,$L$2),Standards!$B$2:'Standards'!$AH$2,0)+1)</f>
        <v>-1.2828282862915501</v>
      </c>
      <c r="H16" s="141">
        <f t="shared" ref="H16:H38" ca="1" si="2">1/(1+EXP(2*(H$9+H$11*(G16-G$17))))</f>
        <v>0.91583024752185305</v>
      </c>
      <c r="I16" s="142">
        <f ca="1">(H16-H17)/(H16*1.4+H17*2.6)</f>
        <v>6.6170091284510736E-3</v>
      </c>
      <c r="R16" s="157"/>
      <c r="S16" s="157"/>
      <c r="T16" s="157"/>
      <c r="U16" s="157"/>
      <c r="V16" s="157"/>
    </row>
    <row r="17" spans="1:22" s="155" customFormat="1" ht="13.2" x14ac:dyDescent="0.25">
      <c r="A17" s="165">
        <v>5</v>
      </c>
      <c r="B17" s="166">
        <f t="shared" si="0"/>
        <v>5</v>
      </c>
      <c r="C17" s="78">
        <f ca="1">OFFSET(Standards!$A$5,ROW()-ROW($A$16)+3,MATCH(IF($L$2="&lt;default&gt;",Introduction!$D$13,$L$2),Standards!$B$2:'Standards'!$AH$2,0))</f>
        <v>-1.1443836734991739</v>
      </c>
      <c r="D17" s="141">
        <f t="shared" ca="1" si="1"/>
        <v>0.88200000000000001</v>
      </c>
      <c r="E17" s="142">
        <f ca="1">(D17-D18)/(D17*2.7+D18*2.3)</f>
        <v>1.8453209264539432E-3</v>
      </c>
      <c r="F17" s="152"/>
      <c r="G17" s="78">
        <f ca="1">OFFSET(Standards!$A$5,ROW()-ROW(G$16)+3,MATCH(IF($L$2="&lt;default&gt;",Introduction!$D$13,$L$2),Standards!$B$2:'Standards'!$AH$2,0)+1)</f>
        <v>-1.0842444395521329</v>
      </c>
      <c r="H17" s="141">
        <f t="shared" ca="1" si="2"/>
        <v>0.89200000000000013</v>
      </c>
      <c r="I17" s="142">
        <f ca="1">(H17-H18)/(H17*2.7+H18*2.3)</f>
        <v>1.5885756365736257E-3</v>
      </c>
      <c r="R17" s="157"/>
      <c r="S17" s="157"/>
      <c r="T17" s="157"/>
      <c r="U17" s="157"/>
      <c r="V17" s="157"/>
    </row>
    <row r="18" spans="1:22" s="155" customFormat="1" ht="13.2" x14ac:dyDescent="0.25">
      <c r="A18" s="165">
        <v>10</v>
      </c>
      <c r="B18" s="166">
        <f t="shared" si="0"/>
        <v>5</v>
      </c>
      <c r="C18" s="78">
        <f ca="1">OFFSET(Standards!$A$5,ROW()-ROW($A$16)+3,MATCH(IF($L$2="&lt;default&gt;",Introduction!$D$13,$L$2),Standards!$B$2:'Standards'!$AH$2,0))</f>
        <v>-1.0968312103313975</v>
      </c>
      <c r="D18" s="141">
        <f t="shared" ca="1" si="1"/>
        <v>0.87389652778012594</v>
      </c>
      <c r="E18" s="142">
        <f ca="1">(D18-D19)/(D18*2.7+D19*2.3)</f>
        <v>1.3845780367812493E-3</v>
      </c>
      <c r="F18" s="152"/>
      <c r="G18" s="78">
        <f ca="1">OFFSET(Standards!$A$5,ROW()-ROW(G$16)+3,MATCH(IF($L$2="&lt;default&gt;",Introduction!$D$13,$L$2),Standards!$B$2:'Standards'!$AH$2,0)+1)</f>
        <v>-1.0329081865332934</v>
      </c>
      <c r="H18" s="141">
        <f t="shared" ca="1" si="2"/>
        <v>0.88494074522920663</v>
      </c>
      <c r="I18" s="142">
        <f ca="1">(H18-H19)/(H18*2.7+H19*2.3)</f>
        <v>1.2182623938639093E-3</v>
      </c>
      <c r="R18" s="157"/>
      <c r="S18" s="157"/>
      <c r="T18" s="157"/>
      <c r="U18" s="157"/>
      <c r="V18" s="157"/>
    </row>
    <row r="19" spans="1:22" s="155" customFormat="1" ht="13.2" x14ac:dyDescent="0.25">
      <c r="A19" s="165">
        <v>15</v>
      </c>
      <c r="B19" s="166">
        <f t="shared" si="0"/>
        <v>5</v>
      </c>
      <c r="C19" s="78">
        <f ca="1">OFFSET(Standards!$A$5,ROW()-ROW($A$16)+3,MATCH(IF($L$2="&lt;default&gt;",Introduction!$D$13,$L$2),Standards!$B$2:'Standards'!$AH$2,0))</f>
        <v>-1.0631132391187417</v>
      </c>
      <c r="D19" s="141">
        <f t="shared" ca="1" si="1"/>
        <v>0.86786584297976621</v>
      </c>
      <c r="E19" s="142">
        <f ca="1">(D19-D20)/(D19*2.7+D20*2.3)</f>
        <v>2.1782456686383518E-3</v>
      </c>
      <c r="F19" s="152"/>
      <c r="G19" s="78">
        <f ca="1">OFFSET(Standards!$A$5,ROW()-ROW(G$16)+3,MATCH(IF($L$2="&lt;default&gt;",Introduction!$D$13,$L$2),Standards!$B$2:'Standards'!$AH$2,0)+1)</f>
        <v>-0.99562585121052949</v>
      </c>
      <c r="H19" s="141">
        <f t="shared" ca="1" si="2"/>
        <v>0.87956535693250626</v>
      </c>
      <c r="I19" s="142">
        <f ca="1">(H19-H20)/(H19*2.7+H20*2.3)</f>
        <v>1.7485319110044158E-3</v>
      </c>
      <c r="R19" s="157"/>
      <c r="S19" s="157"/>
      <c r="T19" s="157"/>
      <c r="U19" s="157"/>
      <c r="V19" s="157"/>
    </row>
    <row r="20" spans="1:22" s="155" customFormat="1" ht="13.2" x14ac:dyDescent="0.25">
      <c r="A20" s="165">
        <v>20</v>
      </c>
      <c r="B20" s="166">
        <f t="shared" si="0"/>
        <v>5</v>
      </c>
      <c r="C20" s="78">
        <f ca="1">OFFSET(Standards!$A$5,ROW()-ROW($A$16)+3,MATCH(IF($L$2="&lt;default&gt;",Introduction!$D$13,$L$2),Standards!$B$2:'Standards'!$AH$2,0))</f>
        <v>-1.0130422551600544</v>
      </c>
      <c r="D20" s="141">
        <f t="shared" ca="1" si="1"/>
        <v>0.85846083666543271</v>
      </c>
      <c r="E20" s="142">
        <f ca="1">(D20-D21)/(D20*2.7+D21*2.3)</f>
        <v>3.0365624123393038E-3</v>
      </c>
      <c r="F20" s="152"/>
      <c r="G20" s="78">
        <f ca="1">OFFSET(Standards!$A$5,ROW()-ROW(G$16)+3,MATCH(IF($L$2="&lt;default&gt;",Introduction!$D$13,$L$2),Standards!$B$2:'Standards'!$AH$2,0)+1)</f>
        <v>-0.94491044364009291</v>
      </c>
      <c r="H20" s="141">
        <f t="shared" ca="1" si="2"/>
        <v>0.87190641782913525</v>
      </c>
      <c r="I20" s="142">
        <f ca="1">(H20-H21)/(H20*2.7+H21*2.3)</f>
        <v>2.241931871301288E-3</v>
      </c>
      <c r="R20" s="157"/>
      <c r="S20" s="157"/>
      <c r="T20" s="157"/>
      <c r="U20" s="157"/>
      <c r="V20" s="157"/>
    </row>
    <row r="21" spans="1:22" s="155" customFormat="1" ht="13.2" x14ac:dyDescent="0.25">
      <c r="A21" s="165">
        <v>25</v>
      </c>
      <c r="B21" s="166">
        <f t="shared" si="0"/>
        <v>5</v>
      </c>
      <c r="C21" s="78">
        <f ca="1">OFFSET(Standards!$A$5,ROW()-ROW($A$16)+3,MATCH(IF($L$2="&lt;default&gt;",Introduction!$D$13,$L$2),Standards!$B$2:'Standards'!$AH$2,0))</f>
        <v>-0.94848666240099744</v>
      </c>
      <c r="D21" s="141">
        <f t="shared" ca="1" si="1"/>
        <v>0.84551738539452959</v>
      </c>
      <c r="E21" s="142">
        <f t="shared" ref="E21:E26" ca="1" si="3">(D21-D22)/(D21*2.7+D22*2.3)</f>
        <v>3.1090131165615463E-3</v>
      </c>
      <c r="F21" s="152"/>
      <c r="G21" s="78">
        <f ca="1">OFFSET(Standards!$A$5,ROW()-ROW(G$16)+3,MATCH(IF($L$2="&lt;default&gt;",Introduction!$D$13,$L$2),Standards!$B$2:'Standards'!$AH$2,0)+1)</f>
        <v>-0.88412226434856211</v>
      </c>
      <c r="H21" s="141">
        <f t="shared" ca="1" si="2"/>
        <v>0.86218278326485831</v>
      </c>
      <c r="I21" s="142">
        <f t="shared" ref="I21:I26" ca="1" si="4">(H21-H22)/(H21*2.7+H22*2.3)</f>
        <v>2.492112848505687E-3</v>
      </c>
      <c r="R21" s="157"/>
      <c r="S21" s="157"/>
      <c r="T21" s="157"/>
      <c r="U21" s="157"/>
      <c r="V21" s="157"/>
    </row>
    <row r="22" spans="1:22" s="155" customFormat="1" ht="13.2" x14ac:dyDescent="0.25">
      <c r="A22" s="165">
        <v>30</v>
      </c>
      <c r="B22" s="166">
        <f t="shared" si="0"/>
        <v>5</v>
      </c>
      <c r="C22" s="78">
        <f ca="1">OFFSET(Standards!$A$5,ROW()-ROW($A$16)+3,MATCH(IF($L$2="&lt;default&gt;",Introduction!$D$13,$L$2),Standards!$B$2:'Standards'!$AH$2,0))</f>
        <v>-0.88773038554625583</v>
      </c>
      <c r="D22" s="141">
        <f t="shared" ca="1" si="1"/>
        <v>0.83246708138971748</v>
      </c>
      <c r="E22" s="142">
        <f t="shared" ca="1" si="3"/>
        <v>3.4290257229973994E-3</v>
      </c>
      <c r="F22" s="152"/>
      <c r="G22" s="78">
        <f ca="1">OFFSET(Standards!$A$5,ROW()-ROW(G$16)+3,MATCH(IF($L$2="&lt;default&gt;",Introduction!$D$13,$L$2),Standards!$B$2:'Standards'!$AH$2,0)+1)</f>
        <v>-0.82136257147134217</v>
      </c>
      <c r="H22" s="141">
        <f t="shared" ca="1" si="2"/>
        <v>0.85150072734941384</v>
      </c>
      <c r="I22" s="142">
        <f t="shared" ca="1" si="4"/>
        <v>2.7806749121978241E-3</v>
      </c>
      <c r="R22" s="157"/>
      <c r="S22" s="157"/>
      <c r="T22" s="157"/>
      <c r="U22" s="157"/>
      <c r="V22" s="157"/>
    </row>
    <row r="23" spans="1:22" s="155" customFormat="1" ht="13.2" x14ac:dyDescent="0.25">
      <c r="A23" s="165">
        <v>35</v>
      </c>
      <c r="B23" s="166">
        <f t="shared" si="0"/>
        <v>5</v>
      </c>
      <c r="C23" s="78">
        <f ca="1">OFFSET(Standards!$A$5,ROW()-ROW($A$16)+3,MATCH(IF($L$2="&lt;default&gt;",Introduction!$D$13,$L$2),Standards!$B$2:'Standards'!$AH$2,0))</f>
        <v>-0.8259381775987652</v>
      </c>
      <c r="D23" s="141">
        <f t="shared" ca="1" si="1"/>
        <v>0.81830601116192336</v>
      </c>
      <c r="E23" s="142">
        <f t="shared" ca="1" si="3"/>
        <v>4.1666666604990117E-3</v>
      </c>
      <c r="F23" s="152"/>
      <c r="G23" s="78">
        <f ca="1">OFFSET(Standards!$A$5,ROW()-ROW(G$16)+3,MATCH(IF($L$2="&lt;default&gt;",Introduction!$D$13,$L$2),Standards!$B$2:'Standards'!$AH$2,0)+1)</f>
        <v>-0.75642199010305966</v>
      </c>
      <c r="H23" s="141">
        <f t="shared" ca="1" si="2"/>
        <v>0.839737227874222</v>
      </c>
      <c r="I23" s="142">
        <f t="shared" ca="1" si="4"/>
        <v>3.1360770577368671E-3</v>
      </c>
      <c r="R23" s="157"/>
      <c r="S23" s="157"/>
      <c r="T23" s="157"/>
      <c r="U23" s="157"/>
      <c r="V23" s="157"/>
    </row>
    <row r="24" spans="1:22" s="155" customFormat="1" ht="13.2" x14ac:dyDescent="0.25">
      <c r="A24" s="165">
        <v>40</v>
      </c>
      <c r="B24" s="166">
        <f t="shared" si="0"/>
        <v>5</v>
      </c>
      <c r="C24" s="78">
        <f ca="1">OFFSET(Standards!$A$5,ROW()-ROW($A$16)+3,MATCH(IF($L$2="&lt;default&gt;",Introduction!$D$13,$L$2),Standards!$B$2:'Standards'!$AH$2,0))</f>
        <v>-0.75696780176204026</v>
      </c>
      <c r="D24" s="141">
        <f t="shared" ca="1" si="1"/>
        <v>0.80141979552093834</v>
      </c>
      <c r="E24" s="142">
        <f t="shared" ca="1" si="3"/>
        <v>5.4117919774420145E-3</v>
      </c>
      <c r="F24" s="152"/>
      <c r="G24" s="78">
        <f ca="1">OFFSET(Standards!$A$5,ROW()-ROW(G$16)+3,MATCH(IF($L$2="&lt;default&gt;",Introduction!$D$13,$L$2),Standards!$B$2:'Standards'!$AH$2,0)+1)</f>
        <v>-0.68862800696556059</v>
      </c>
      <c r="H24" s="141">
        <f t="shared" ca="1" si="2"/>
        <v>0.82666412062485406</v>
      </c>
      <c r="I24" s="142">
        <f t="shared" ca="1" si="4"/>
        <v>3.6248748304145112E-3</v>
      </c>
      <c r="R24" s="157"/>
      <c r="S24" s="157"/>
      <c r="T24" s="157"/>
      <c r="U24" s="157"/>
      <c r="V24" s="157"/>
    </row>
    <row r="25" spans="1:22" s="155" customFormat="1" ht="13.2" x14ac:dyDescent="0.25">
      <c r="A25" s="165">
        <v>45</v>
      </c>
      <c r="B25" s="166">
        <f t="shared" si="0"/>
        <v>5</v>
      </c>
      <c r="C25" s="78">
        <f ca="1">OFFSET(Standards!$A$5,ROW()-ROW($A$16)+3,MATCH(IF($L$2="&lt;default&gt;",Introduction!$D$13,$L$2),Standards!$B$2:'Standards'!$AH$2,0))</f>
        <v>-0.67555110779524841</v>
      </c>
      <c r="D25" s="141">
        <f t="shared" ca="1" si="1"/>
        <v>0.78000081408647282</v>
      </c>
      <c r="E25" s="142">
        <f t="shared" ca="1" si="3"/>
        <v>7.3049197121493794E-3</v>
      </c>
      <c r="F25" s="152"/>
      <c r="G25" s="78">
        <f ca="1">OFFSET(Standards!$A$5,ROW()-ROW(G$16)+3,MATCH(IF($L$2="&lt;default&gt;",Introduction!$D$13,$L$2),Standards!$B$2:'Standards'!$AH$2,0)+1)</f>
        <v>-0.61631192568392912</v>
      </c>
      <c r="H25" s="141">
        <f t="shared" ca="1" si="2"/>
        <v>0.81180523250651582</v>
      </c>
      <c r="I25" s="142">
        <f t="shared" ca="1" si="4"/>
        <v>4.4204107197393858E-3</v>
      </c>
      <c r="R25" s="157"/>
      <c r="S25" s="157"/>
      <c r="T25" s="157"/>
      <c r="U25" s="157"/>
      <c r="V25" s="157"/>
    </row>
    <row r="26" spans="1:22" s="155" customFormat="1" ht="13.2" x14ac:dyDescent="0.25">
      <c r="A26" s="165">
        <v>50</v>
      </c>
      <c r="B26" s="166">
        <f t="shared" si="0"/>
        <v>5</v>
      </c>
      <c r="C26" s="78">
        <f ca="1">OFFSET(Standards!$A$5,ROW()-ROW($A$16)+3,MATCH(IF($L$2="&lt;default&gt;",Introduction!$D$13,$L$2),Standards!$B$2:'Standards'!$AH$2,0))</f>
        <v>-0.57720150892943201</v>
      </c>
      <c r="D26" s="141">
        <f t="shared" ca="1" si="1"/>
        <v>0.7519823446157724</v>
      </c>
      <c r="E26" s="142">
        <f t="shared" ca="1" si="3"/>
        <v>1.0272548707849482E-2</v>
      </c>
      <c r="F26" s="152"/>
      <c r="G26" s="78">
        <f ca="1">OFFSET(Standards!$A$5,ROW()-ROW(G$16)+3,MATCH(IF($L$2="&lt;default&gt;",Introduction!$D$13,$L$2),Standards!$B$2:'Standards'!$AH$2,0)+1)</f>
        <v>-0.53540369879947558</v>
      </c>
      <c r="H26" s="141">
        <f t="shared" ca="1" si="2"/>
        <v>0.79404325479036475</v>
      </c>
      <c r="I26" s="142">
        <f t="shared" ca="1" si="4"/>
        <v>5.9241532511639236E-3</v>
      </c>
      <c r="R26" s="157"/>
      <c r="S26" s="157"/>
      <c r="T26" s="157"/>
      <c r="U26" s="157"/>
      <c r="V26" s="157"/>
    </row>
    <row r="27" spans="1:22" s="155" customFormat="1" ht="13.2" x14ac:dyDescent="0.25">
      <c r="A27" s="165">
        <v>55</v>
      </c>
      <c r="B27" s="166">
        <f t="shared" si="0"/>
        <v>5</v>
      </c>
      <c r="C27" s="78">
        <f ca="1">OFFSET(Standards!$A$5,ROW()-ROW($A$16)+3,MATCH(IF($L$2="&lt;default&gt;",Introduction!$D$13,$L$2),Standards!$B$2:'Standards'!$AH$2,0))</f>
        <v>-0.45582055810755873</v>
      </c>
      <c r="D27" s="141">
        <f t="shared" ca="1" si="1"/>
        <v>0.71424996600661927</v>
      </c>
      <c r="E27" s="142">
        <f ca="1">(D27-D28)/(D27*2.7+D28*2.3)</f>
        <v>1.4617827323008268E-2</v>
      </c>
      <c r="F27" s="152"/>
      <c r="G27" s="78">
        <f ca="1">OFFSET(Standards!$A$5,ROW()-ROW(G$16)+3,MATCH(IF($L$2="&lt;default&gt;",Introduction!$D$13,$L$2),Standards!$B$2:'Standards'!$AH$2,0)+1)</f>
        <v>-0.43713086722588262</v>
      </c>
      <c r="H27" s="141">
        <f t="shared" ca="1" si="2"/>
        <v>0.77083925249418783</v>
      </c>
      <c r="I27" s="142">
        <f ca="1">(H27-H28)/(H27*2.7+H28*2.3)</f>
        <v>8.0152020970764189E-3</v>
      </c>
      <c r="R27" s="157"/>
      <c r="S27" s="157"/>
      <c r="T27" s="157"/>
      <c r="U27" s="157"/>
      <c r="V27" s="157"/>
    </row>
    <row r="28" spans="1:22" s="155" customFormat="1" ht="13.2" x14ac:dyDescent="0.25">
      <c r="A28" s="165">
        <v>60</v>
      </c>
      <c r="B28" s="166">
        <f t="shared" si="0"/>
        <v>5</v>
      </c>
      <c r="C28" s="78">
        <f ca="1">OFFSET(Standards!$A$5,ROW()-ROW($A$16)+3,MATCH(IF($L$2="&lt;default&gt;",Introduction!$D$13,$L$2),Standards!$B$2:'Standards'!$AH$2,0))</f>
        <v>-0.30741359919534794</v>
      </c>
      <c r="D28" s="141">
        <f t="shared" ca="1" si="1"/>
        <v>0.66374411018600188</v>
      </c>
      <c r="E28" s="142">
        <f ca="1">(D28-D29)/(D28*2.6+D29*2.4)</f>
        <v>2.1228197140564984E-2</v>
      </c>
      <c r="F28" s="152"/>
      <c r="G28" s="78">
        <f ca="1">OFFSET(Standards!$A$5,ROW()-ROW(G$16)+3,MATCH(IF($L$2="&lt;default&gt;",Introduction!$D$13,$L$2),Standards!$B$2:'Standards'!$AH$2,0)+1)</f>
        <v>-0.3186589915311997</v>
      </c>
      <c r="H28" s="141">
        <f t="shared" ca="1" si="2"/>
        <v>0.74050627784925138</v>
      </c>
      <c r="I28" s="142">
        <f ca="1">(H28-H29)/(H28*2.6+H29*2.4)</f>
        <v>1.1840552069247823E-2</v>
      </c>
    </row>
    <row r="29" spans="1:22" s="155" customFormat="1" ht="13.2" x14ac:dyDescent="0.25">
      <c r="A29" s="165">
        <v>65</v>
      </c>
      <c r="B29" s="166">
        <f t="shared" si="0"/>
        <v>5</v>
      </c>
      <c r="C29" s="78">
        <f ca="1">OFFSET(Standards!$A$5,ROW()-ROW($A$16)+3,MATCH(IF($L$2="&lt;default&gt;",Introduction!$D$13,$L$2),Standards!$B$2:'Standards'!$AH$2,0))</f>
        <v>-0.1262176157653675</v>
      </c>
      <c r="D29" s="141">
        <f t="shared" ca="1" si="1"/>
        <v>0.59670894191803903</v>
      </c>
      <c r="E29" s="142">
        <f ca="1">(D29-D30)/(D29*2.6+D30*2.4)</f>
        <v>3.0924062581717825E-2</v>
      </c>
      <c r="F29" s="152"/>
      <c r="G29" s="78">
        <f ca="1">OFFSET(Standards!$A$5,ROW()-ROW(G$16)+3,MATCH(IF($L$2="&lt;default&gt;",Introduction!$D$13,$L$2),Standards!$B$2:'Standards'!$AH$2,0)+1)</f>
        <v>-0.16637525937102554</v>
      </c>
      <c r="H29" s="141">
        <f t="shared" ca="1" si="2"/>
        <v>0.69787765361459464</v>
      </c>
      <c r="I29" s="142">
        <f ca="1">(H29-H30)/(H29*2.6+H30*2.4)</f>
        <v>1.7645872343019568E-2</v>
      </c>
    </row>
    <row r="30" spans="1:22" s="155" customFormat="1" ht="13.2" x14ac:dyDescent="0.25">
      <c r="A30" s="165">
        <v>70</v>
      </c>
      <c r="B30" s="166">
        <f t="shared" si="0"/>
        <v>5</v>
      </c>
      <c r="C30" s="78">
        <f ca="1">OFFSET(Standards!$A$5,ROW()-ROW($A$16)+3,MATCH(IF($L$2="&lt;default&gt;",Introduction!$D$13,$L$2),Standards!$B$2:'Standards'!$AH$2,0))</f>
        <v>9.2839228680570429E-2</v>
      </c>
      <c r="D30" s="141">
        <f t="shared" ca="1" si="1"/>
        <v>0.51082009554785424</v>
      </c>
      <c r="E30" s="142">
        <f ca="1">(D30-D31)/(D30*2.6+D31*2.4)</f>
        <v>4.6619716972574769E-2</v>
      </c>
      <c r="F30" s="152"/>
      <c r="G30" s="78">
        <f ca="1">OFFSET(Standards!$A$5,ROW()-ROW(G$16)+3,MATCH(IF($L$2="&lt;default&gt;",Introduction!$D$13,$L$2),Standards!$B$2:'Standards'!$AH$2,0)+1)</f>
        <v>2.5988333390229997E-2</v>
      </c>
      <c r="H30" s="141">
        <f t="shared" ca="1" si="2"/>
        <v>0.63880604196479396</v>
      </c>
      <c r="I30" s="142">
        <f ca="1">(H30-H31)/(H30*2.6+H31*2.4)</f>
        <v>2.8035464094136025E-2</v>
      </c>
    </row>
    <row r="31" spans="1:22" s="155" customFormat="1" ht="13.2" x14ac:dyDescent="0.25">
      <c r="A31" s="165">
        <v>75</v>
      </c>
      <c r="B31" s="166">
        <f t="shared" si="0"/>
        <v>5</v>
      </c>
      <c r="C31" s="78">
        <f ca="1">OFFSET(Standards!$A$5,ROW()-ROW($A$16)+3,MATCH(IF($L$2="&lt;default&gt;",Introduction!$D$13,$L$2),Standards!$B$2:'Standards'!$AH$2,0))</f>
        <v>0.36516868997048274</v>
      </c>
      <c r="D31" s="141">
        <f t="shared" ca="1" si="1"/>
        <v>0.40373060979573688</v>
      </c>
      <c r="E31" s="142">
        <f ca="1">(D31-D32)/(D31*2.5+D32*2.5)</f>
        <v>7.2912895246468337E-2</v>
      </c>
      <c r="F31" s="152"/>
      <c r="G31" s="78">
        <f ca="1">OFFSET(Standards!$A$5,ROW()-ROW(G$16)+3,MATCH(IF($L$2="&lt;default&gt;",Introduction!$D$13,$L$2),Standards!$B$2:'Standards'!$AH$2,0)+1)</f>
        <v>0.27789225951999852</v>
      </c>
      <c r="H31" s="141">
        <f t="shared" ca="1" si="2"/>
        <v>0.5549052003779501</v>
      </c>
      <c r="I31" s="142">
        <f ca="1">(H31-H32)/(H31*2.5+H32*2.5)</f>
        <v>4.5917755543836404E-2</v>
      </c>
    </row>
    <row r="32" spans="1:22" s="155" customFormat="1" ht="13.2" x14ac:dyDescent="0.25">
      <c r="A32" s="165">
        <v>80</v>
      </c>
      <c r="B32" s="166">
        <f t="shared" si="0"/>
        <v>5</v>
      </c>
      <c r="C32" s="78">
        <f ca="1">OFFSET(Standards!$A$5,ROW()-ROW($A$16)+3,MATCH(IF($L$2="&lt;default&gt;",Introduction!$D$13,$L$2),Standards!$B$2:'Standards'!$AH$2,0))</f>
        <v>0.71611699723844735</v>
      </c>
      <c r="D32" s="141">
        <f t="shared" ca="1" si="1"/>
        <v>0.27923763040896182</v>
      </c>
      <c r="E32" s="142">
        <f ca="1">(D32-D33)/(D32*2.4+D33*2.6)</f>
        <v>0.11617891117482292</v>
      </c>
      <c r="F32" s="152"/>
      <c r="G32" s="78">
        <f ca="1">OFFSET(Standards!$A$5,ROW()-ROW(G$16)+3,MATCH(IF($L$2="&lt;default&gt;",Introduction!$D$13,$L$2),Standards!$B$2:'Standards'!$AH$2,0)+1)</f>
        <v>0.60865330973735543</v>
      </c>
      <c r="H32" s="141">
        <f t="shared" ca="1" si="2"/>
        <v>0.44062403070403505</v>
      </c>
      <c r="I32" s="142">
        <f ca="1">(H32-H33)/(H32*2.4+H33*2.6)</f>
        <v>7.8350673340179158E-2</v>
      </c>
    </row>
    <row r="33" spans="1:15" s="155" customFormat="1" ht="13.2" x14ac:dyDescent="0.25">
      <c r="A33" s="167">
        <v>85</v>
      </c>
      <c r="B33" s="166">
        <f t="shared" si="0"/>
        <v>5</v>
      </c>
      <c r="C33" s="78">
        <f ca="1">OFFSET(Standards!$A$5,ROW()-ROW($A$16)+3,MATCH(IF($L$2="&lt;default&gt;",Introduction!$D$13,$L$2),Standards!$B$2:'Standards'!$AH$2,0))</f>
        <v>1.1877303063916866</v>
      </c>
      <c r="D33" s="141">
        <f t="shared" ca="1" si="1"/>
        <v>0.15466044091426331</v>
      </c>
      <c r="E33" s="142">
        <f ca="1">(D33-D34)/(D33*2.2+D34*2.8)</f>
        <v>0.18643530570377062</v>
      </c>
      <c r="F33" s="154"/>
      <c r="G33" s="78">
        <f ca="1">OFFSET(Standards!$A$5,ROW()-ROW(G$16)+3,MATCH(IF($L$2="&lt;default&gt;",Introduction!$D$13,$L$2),Standards!$B$2:'Standards'!$AH$2,0)+1)</f>
        <v>1.0566921142266263</v>
      </c>
      <c r="H33" s="141">
        <f t="shared" ca="1" si="2"/>
        <v>0.29722097147538656</v>
      </c>
      <c r="I33" s="142">
        <f ca="1">(H33-H34)/(H33*2.2+H34*2.8)</f>
        <v>0.13367833289032238</v>
      </c>
    </row>
    <row r="34" spans="1:15" s="155" customFormat="1" ht="13.2" x14ac:dyDescent="0.25">
      <c r="A34" s="167">
        <v>90</v>
      </c>
      <c r="B34" s="166">
        <f t="shared" si="0"/>
        <v>5</v>
      </c>
      <c r="C34" s="78">
        <f ca="1">OFFSET(Standards!$A$5,ROW()-ROW($A$16)+3,MATCH(IF($L$2="&lt;default&gt;",Introduction!$D$13,$L$2),Standards!$B$2:'Standards'!$AH$2,0))</f>
        <v>1.8503663759686619</v>
      </c>
      <c r="D34" s="141">
        <f t="shared" ca="1" si="1"/>
        <v>5.9937019883635784E-2</v>
      </c>
      <c r="E34" s="142">
        <f ca="1">(D34-D35)/(D34*2+D35*3)</f>
        <v>0.27971367152842053</v>
      </c>
      <c r="F34" s="154"/>
      <c r="G34" s="78">
        <f ca="1">OFFSET(Standards!$A$5,ROW()-ROW(G$16)+3,MATCH(IF($L$2="&lt;default&gt;",Introduction!$D$13,$L$2),Standards!$B$2:'Standards'!$AH$2,0)+1)</f>
        <v>1.6713786473155037</v>
      </c>
      <c r="H34" s="141">
        <f t="shared" ca="1" si="2"/>
        <v>0.15266729587123568</v>
      </c>
      <c r="I34" s="142">
        <f ca="1">(H34-H35)/(H34*2+H35*3)</f>
        <v>0.2144356968865466</v>
      </c>
    </row>
    <row r="35" spans="1:15" s="155" customFormat="1" ht="13.2" x14ac:dyDescent="0.25">
      <c r="A35" s="167">
        <v>95</v>
      </c>
      <c r="B35" s="166">
        <f t="shared" si="0"/>
        <v>5</v>
      </c>
      <c r="C35" s="78">
        <f ca="1">OFFSET(Standards!$A$5,ROW()-ROW($A$16)+3,MATCH(IF($L$2="&lt;default&gt;",Introduction!$D$13,$L$2),Standards!$B$2:'Standards'!$AH$2,0))</f>
        <v>2.7783838252094868</v>
      </c>
      <c r="D35" s="141">
        <f t="shared" ca="1" si="1"/>
        <v>1.4358122563724799E-2</v>
      </c>
      <c r="E35" s="142">
        <f ca="1">(D35-D36)/(D35*1.7+D36*3.3)</f>
        <v>0.39681490550159731</v>
      </c>
      <c r="F35" s="154"/>
      <c r="G35" s="78">
        <f ca="1">OFFSET(Standards!$A$5,ROW()-ROW(G$16)+3,MATCH(IF($L$2="&lt;default&gt;",Introduction!$D$13,$L$2),Standards!$B$2:'Standards'!$AH$2,0)+1)</f>
        <v>2.5127936410983334</v>
      </c>
      <c r="H35" s="141">
        <f t="shared" ca="1" si="2"/>
        <v>5.3059261049235563E-2</v>
      </c>
      <c r="I35" s="142">
        <f ca="1">(H35-H36)/(H35*1.7+H36*3.3)</f>
        <v>0.32035744850972137</v>
      </c>
    </row>
    <row r="36" spans="1:15" s="155" customFormat="1" ht="13.2" x14ac:dyDescent="0.25">
      <c r="A36" s="167">
        <v>100</v>
      </c>
      <c r="B36" s="166">
        <f t="shared" si="0"/>
        <v>5</v>
      </c>
      <c r="C36" s="78">
        <f ca="1">OFFSET(Standards!$A$5,ROW()-ROW($A$16)+3,MATCH(IF($L$2="&lt;default&gt;",Introduction!$D$13,$L$2),Standards!$B$2:'Standards'!$AH$2,0))</f>
        <v>4.0180571041339634</v>
      </c>
      <c r="D36" s="141">
        <f t="shared" ca="1" si="1"/>
        <v>2.0231069301254049E-3</v>
      </c>
      <c r="E36" s="142">
        <f ca="1">(D36-D37)/(D36*1.6+D37*3.4)</f>
        <v>0.45345113561712236</v>
      </c>
      <c r="F36" s="154"/>
      <c r="G36" s="78">
        <f ca="1">OFFSET(Standards!$A$5,ROW()-ROW(G$16)+3,MATCH(IF($L$2="&lt;default&gt;",Introduction!$D$13,$L$2),Standards!$B$2:'Standards'!$AH$2,0)+1)</f>
        <v>3.6298603411790711</v>
      </c>
      <c r="H36" s="141">
        <f t="shared" ca="1" si="2"/>
        <v>1.1745586603599333E-2</v>
      </c>
      <c r="I36" s="142">
        <f ca="1">(H36-H37)/(H36*1.6+H37*3.4)</f>
        <v>0.39533984963032204</v>
      </c>
      <c r="K36" s="168"/>
      <c r="N36" s="168"/>
      <c r="O36" s="168"/>
    </row>
    <row r="37" spans="1:15" s="155" customFormat="1" ht="13.2" x14ac:dyDescent="0.25">
      <c r="A37" s="167">
        <v>105</v>
      </c>
      <c r="B37" s="166">
        <f t="shared" si="0"/>
        <v>5</v>
      </c>
      <c r="C37" s="78">
        <f ca="1">OFFSET(Standards!$A$5,ROW()-ROW($A$16)+3,MATCH(IF($L$2="&lt;default&gt;",Introduction!$D$13,$L$2),Standards!$B$2:'Standards'!$AH$2,0))</f>
        <v>5.4182862080623648</v>
      </c>
      <c r="D37" s="141">
        <f t="shared" ca="1" si="1"/>
        <v>2.1847240685580623E-4</v>
      </c>
      <c r="E37" s="142">
        <f ca="1">(D37-D38)/(D37*1.5+D38*3.5)</f>
        <v>0.47325131675456966</v>
      </c>
      <c r="F37" s="154"/>
      <c r="G37" s="78">
        <f ca="1">OFFSET(Standards!$A$5,ROW()-ROW(G$16)+3,MATCH(IF($L$2="&lt;default&gt;",Introduction!$D$13,$L$2),Standards!$B$2:'Standards'!$AH$2,0)+1)</f>
        <v>4.9719871065152965</v>
      </c>
      <c r="H37" s="141">
        <f t="shared" ca="1" si="2"/>
        <v>1.8411701432034669E-3</v>
      </c>
      <c r="I37" s="142">
        <f ca="1">(H37-H38)/(H37*1.5+H38*3.5)</f>
        <v>0.42925939322068191</v>
      </c>
    </row>
    <row r="38" spans="1:15" s="155" customFormat="1" ht="13.2" x14ac:dyDescent="0.25">
      <c r="A38" s="169">
        <v>110</v>
      </c>
      <c r="B38" s="169"/>
      <c r="C38" s="84">
        <f ca="1">OFFSET(Standards!$A$5,ROW()-ROW($A$16)+3,MATCH(IF($L$2="&lt;default&gt;",Introduction!$D$13,$L$2),Standards!$B$2:'Standards'!$AH$2,0))</f>
        <v>6.8103890080331801</v>
      </c>
      <c r="D38" s="143">
        <f t="shared" ca="1" si="1"/>
        <v>2.3861000634490623E-5</v>
      </c>
      <c r="E38" s="144">
        <f ca="1">EXP(2*LN(E37)-LN(E36))</f>
        <v>0.49391608316324398</v>
      </c>
      <c r="F38" s="160"/>
      <c r="G38" s="84">
        <f ca="1">OFFSET(Standards!$A$5,ROW()-ROW(G$16)+3,MATCH(IF($L$2="&lt;default&gt;",Introduction!$D$13,$L$2),Standards!$B$2:'Standards'!$AH$2,0)+1)</f>
        <v>6.3777236955329677</v>
      </c>
      <c r="H38" s="143">
        <f t="shared" ca="1" si="2"/>
        <v>2.6201195324273516E-4</v>
      </c>
      <c r="I38" s="144">
        <f ca="1">EXP(2*LN(I37)-LN(I36))</f>
        <v>0.46608918084147327</v>
      </c>
    </row>
    <row r="40" spans="1:15" x14ac:dyDescent="0.25">
      <c r="C40" s="170"/>
      <c r="E40" s="170"/>
      <c r="F40" s="170"/>
      <c r="G40" s="170"/>
    </row>
  </sheetData>
  <mergeCells count="7">
    <mergeCell ref="D13:E13"/>
    <mergeCell ref="H13:I13"/>
    <mergeCell ref="A1:J1"/>
    <mergeCell ref="C6:E6"/>
    <mergeCell ref="G6:I6"/>
    <mergeCell ref="C2:J2"/>
    <mergeCell ref="C3:J3"/>
  </mergeCells>
  <phoneticPr fontId="35" type="noConversion"/>
  <conditionalFormatting sqref="H15:I38 H10:H12">
    <cfRule type="expression" dxfId="5" priority="19">
      <formula>ABS($I$11)&gt;0.0001</formula>
    </cfRule>
  </conditionalFormatting>
  <conditionalFormatting sqref="D15:E38 D10:D12">
    <cfRule type="expression" dxfId="4" priority="1">
      <formula>ABS($E$11)&gt;0.0001</formula>
    </cfRule>
  </conditionalFormatting>
  <dataValidations count="1">
    <dataValidation type="list" showInputMessage="1" showErrorMessage="1" promptTitle="Select standard" sqref="L2">
      <formula1>"&lt;default&gt;,普林斯顿北部,普林斯顿南部,普林斯顿东部,普林斯顿西部,联合国一般,联合国拉美,联合国智利,联合国南亚, 联合国远东"</formula1>
    </dataValidation>
  </dataValidations>
  <pageMargins left="0.7" right="0.7" top="0.75" bottom="0.75" header="0.3" footer="0.3"/>
  <ignoredErrors>
    <ignoredError sqref="E15:E16 D12 B15 B16:B37 D16 D17:E38 G16:I38 I15 H12 I11 C16:C38 D7:D10 C8 H7:H10 G8 E11" unlockedFormula="1"/>
  </ignoredErrors>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9"/>
  <sheetViews>
    <sheetView topLeftCell="C4" zoomScaleNormal="100" workbookViewId="0">
      <selection activeCell="J6" sqref="J6"/>
    </sheetView>
  </sheetViews>
  <sheetFormatPr defaultColWidth="9.109375" defaultRowHeight="13.8" x14ac:dyDescent="0.25"/>
  <cols>
    <col min="1" max="1" width="9.109375" style="38"/>
    <col min="2" max="2" width="3" style="38" bestFit="1" customWidth="1"/>
    <col min="3" max="3" width="11.44140625" style="38" customWidth="1"/>
    <col min="4" max="5" width="9.109375" style="38"/>
    <col min="6" max="6" width="3.88671875" style="38" customWidth="1"/>
    <col min="7" max="7" width="11.5546875" style="38" customWidth="1"/>
    <col min="8" max="9" width="9.109375" style="38"/>
    <col min="10" max="10" width="5.88671875" style="38" customWidth="1"/>
    <col min="11" max="11" width="6.6640625" style="38" bestFit="1" customWidth="1"/>
    <col min="12" max="14" width="7.109375" style="38" bestFit="1" customWidth="1"/>
    <col min="15" max="15" width="1.6640625" style="38" customWidth="1"/>
    <col min="16" max="18" width="7.109375" style="38" bestFit="1" customWidth="1"/>
    <col min="19" max="19" width="9.109375" style="38" customWidth="1"/>
    <col min="20" max="16384" width="9.109375" style="38"/>
  </cols>
  <sheetData>
    <row r="1" spans="1:28" x14ac:dyDescent="0.25">
      <c r="A1" s="212" t="s">
        <v>81</v>
      </c>
      <c r="B1" s="213"/>
      <c r="C1" s="213"/>
      <c r="D1" s="213"/>
      <c r="E1" s="213"/>
      <c r="F1" s="213"/>
      <c r="G1" s="213"/>
      <c r="H1" s="213"/>
      <c r="I1" s="213"/>
      <c r="J1" s="213"/>
    </row>
    <row r="2" spans="1:28" ht="12.75" customHeight="1" x14ac:dyDescent="0.25">
      <c r="A2" s="39"/>
      <c r="B2" s="39"/>
      <c r="C2" s="40"/>
      <c r="D2" s="40"/>
      <c r="E2" s="40"/>
      <c r="F2" s="40"/>
      <c r="G2" s="40"/>
      <c r="H2" s="40"/>
      <c r="I2" s="40"/>
      <c r="J2" s="40"/>
    </row>
    <row r="3" spans="1:28" ht="15.75" customHeight="1" x14ac:dyDescent="0.25">
      <c r="A3" s="39" t="s">
        <v>49</v>
      </c>
      <c r="B3" s="39"/>
      <c r="C3" s="40" t="s">
        <v>127</v>
      </c>
      <c r="D3" s="40"/>
      <c r="E3" s="40"/>
      <c r="F3" s="40"/>
      <c r="G3" s="40"/>
      <c r="H3" s="40"/>
      <c r="I3" s="40"/>
      <c r="J3" s="40"/>
    </row>
    <row r="4" spans="1:28" ht="15.75" customHeight="1" x14ac:dyDescent="0.25">
      <c r="A4" s="39" t="s">
        <v>52</v>
      </c>
      <c r="B4" s="40"/>
      <c r="C4" s="145" t="s">
        <v>78</v>
      </c>
      <c r="D4" s="145"/>
      <c r="E4" s="149"/>
      <c r="F4" s="145" t="s">
        <v>86</v>
      </c>
      <c r="G4" s="145"/>
      <c r="H4" s="145"/>
      <c r="I4" s="145"/>
      <c r="J4" s="145"/>
    </row>
    <row r="5" spans="1:28" ht="12.75" customHeight="1" x14ac:dyDescent="0.25">
      <c r="J5" s="40"/>
      <c r="U5" s="40"/>
      <c r="V5" s="40"/>
      <c r="W5" s="40"/>
      <c r="X5" s="40"/>
      <c r="Y5" s="40"/>
      <c r="Z5" s="40"/>
      <c r="AA5" s="40"/>
      <c r="AB5" s="40"/>
    </row>
    <row r="6" spans="1:28" ht="15.75" customHeight="1" x14ac:dyDescent="0.25">
      <c r="A6" s="41"/>
      <c r="B6" s="41"/>
      <c r="C6" s="209" t="s">
        <v>64</v>
      </c>
      <c r="D6" s="210"/>
      <c r="E6" s="210"/>
      <c r="F6" s="42"/>
      <c r="G6" s="209" t="s">
        <v>65</v>
      </c>
      <c r="H6" s="211"/>
      <c r="I6" s="211"/>
      <c r="K6" s="209" t="s">
        <v>82</v>
      </c>
      <c r="L6" s="209"/>
      <c r="M6" s="209"/>
      <c r="N6" s="209"/>
      <c r="O6" s="209"/>
      <c r="P6" s="209"/>
      <c r="Q6" s="209"/>
      <c r="R6" s="209"/>
    </row>
    <row r="7" spans="1:28" s="21" customFormat="1" ht="16.5" customHeight="1" x14ac:dyDescent="0.35">
      <c r="A7" s="72"/>
      <c r="B7" s="72"/>
      <c r="C7" s="73" t="s">
        <v>14</v>
      </c>
      <c r="D7" s="74">
        <f>Introduction!D18</f>
        <v>0.11799999999999999</v>
      </c>
      <c r="E7" s="74"/>
      <c r="F7" s="75"/>
      <c r="G7" s="73" t="s">
        <v>14</v>
      </c>
      <c r="H7" s="74">
        <f>Introduction!D19</f>
        <v>0.108</v>
      </c>
      <c r="I7" s="74"/>
      <c r="K7" s="50"/>
      <c r="L7" s="221" t="s">
        <v>85</v>
      </c>
      <c r="M7" s="221"/>
      <c r="N7" s="221"/>
      <c r="O7" s="221"/>
      <c r="P7" s="221"/>
      <c r="Q7" s="221"/>
      <c r="R7" s="221"/>
      <c r="S7" s="38"/>
      <c r="T7" s="21" t="str">
        <f>"拟合的"&amp;Introduction!D15&amp;"生命表"&amp;" - 修正的罗吉特法"</f>
        <v>拟合的肯尼亚 c.1985生命表 - 修正的罗吉特法</v>
      </c>
    </row>
    <row r="8" spans="1:28" s="21" customFormat="1" x14ac:dyDescent="0.25">
      <c r="A8" s="76"/>
      <c r="B8" s="76"/>
      <c r="C8" s="77" t="str">
        <f>Introduction!D22</f>
        <v>45q15</v>
      </c>
      <c r="D8" s="78">
        <f>Introduction!D24</f>
        <v>0.23519999999999999</v>
      </c>
      <c r="E8" s="78"/>
      <c r="F8" s="75"/>
      <c r="G8" s="77" t="str">
        <f>Introduction!D22</f>
        <v>45q15</v>
      </c>
      <c r="H8" s="78">
        <f>Introduction!D25</f>
        <v>0.15809999999999999</v>
      </c>
      <c r="I8" s="78"/>
      <c r="K8" s="50"/>
      <c r="L8" s="222"/>
      <c r="M8" s="222"/>
      <c r="N8" s="222"/>
      <c r="O8" s="222"/>
      <c r="P8" s="222"/>
      <c r="Q8" s="222"/>
      <c r="R8" s="222"/>
      <c r="S8" s="38"/>
    </row>
    <row r="9" spans="1:28" s="21" customFormat="1" ht="12.75" customHeight="1" x14ac:dyDescent="0.25">
      <c r="A9" s="72"/>
      <c r="B9" s="72"/>
      <c r="C9" s="73" t="s">
        <v>15</v>
      </c>
      <c r="D9" s="57">
        <f>0.5*LN(D7/(1-D7))</f>
        <v>-1.0057537157705632</v>
      </c>
      <c r="E9" s="57"/>
      <c r="F9" s="79"/>
      <c r="G9" s="73" t="s">
        <v>15</v>
      </c>
      <c r="H9" s="57">
        <f>0.5*LN(H7/(1-H7))</f>
        <v>-1.0556674527278949</v>
      </c>
      <c r="I9" s="57"/>
      <c r="K9" s="50"/>
      <c r="L9" s="222"/>
      <c r="M9" s="222"/>
      <c r="N9" s="222"/>
      <c r="O9" s="222"/>
      <c r="P9" s="222"/>
      <c r="Q9" s="222"/>
      <c r="R9" s="222"/>
      <c r="T9" s="80"/>
    </row>
    <row r="10" spans="1:28" s="21" customFormat="1" ht="12.75" customHeight="1" x14ac:dyDescent="0.25">
      <c r="A10" s="72"/>
      <c r="B10" s="72"/>
      <c r="C10" s="77" t="s">
        <v>0</v>
      </c>
      <c r="D10" s="78">
        <f>D9-D11*0.5*LN((1-N$17)/N$17)</f>
        <v>2.8811133440540315E-2</v>
      </c>
      <c r="E10" s="78"/>
      <c r="F10" s="75"/>
      <c r="G10" s="77" t="s">
        <v>0</v>
      </c>
      <c r="H10" s="78">
        <f>H9-H11*0.5*LN((1-R$17)/R$17)</f>
        <v>1.7935430212714154E-2</v>
      </c>
      <c r="I10" s="78"/>
      <c r="K10" s="50"/>
      <c r="L10" s="222"/>
      <c r="M10" s="222"/>
      <c r="N10" s="222"/>
      <c r="O10" s="222"/>
      <c r="P10" s="222"/>
      <c r="Q10" s="222"/>
      <c r="R10" s="222"/>
      <c r="T10" s="80"/>
    </row>
    <row r="11" spans="1:28" s="21" customFormat="1" ht="13.2" x14ac:dyDescent="0.25">
      <c r="A11" s="81"/>
      <c r="B11" s="81"/>
      <c r="C11" s="77" t="s">
        <v>1</v>
      </c>
      <c r="D11" s="78">
        <v>0.65053447040789969</v>
      </c>
      <c r="E11" s="82">
        <f>(1-D8)-IF(C8="35q15",D26,D28)/D$19</f>
        <v>-3.6020482507836959E-7</v>
      </c>
      <c r="F11" s="75"/>
      <c r="G11" s="77" t="s">
        <v>1</v>
      </c>
      <c r="H11" s="78">
        <v>0.63858469660117367</v>
      </c>
      <c r="I11" s="82">
        <f>(1-H8)-IF(G8="35q15",H26,H28)/H19</f>
        <v>-3.5404391429683102E-7</v>
      </c>
      <c r="K11" s="220"/>
      <c r="L11" s="220"/>
      <c r="M11" s="220"/>
      <c r="N11" s="220"/>
      <c r="O11" s="220"/>
      <c r="P11" s="220"/>
      <c r="Q11" s="220"/>
      <c r="R11" s="220"/>
      <c r="T11" s="80"/>
    </row>
    <row r="12" spans="1:28" s="21" customFormat="1" ht="15.6" x14ac:dyDescent="0.35">
      <c r="A12" s="188"/>
      <c r="B12" s="188"/>
      <c r="C12" s="73" t="s">
        <v>16</v>
      </c>
      <c r="D12" s="109">
        <f t="array" ref="D12">SUM((D15:D32-D16:D33)/E15:E32)+D33/E33</f>
        <v>60.313517043613274</v>
      </c>
      <c r="E12" s="59"/>
      <c r="F12" s="75"/>
      <c r="G12" s="83" t="s">
        <v>16</v>
      </c>
      <c r="H12" s="109">
        <f t="array" ref="H12">SUM((H15:H32-H16:H33)/I15:I32)+H33/I33</f>
        <v>64.442532836725221</v>
      </c>
      <c r="I12" s="84"/>
      <c r="K12" s="90"/>
      <c r="L12" s="223" t="s">
        <v>64</v>
      </c>
      <c r="M12" s="223"/>
      <c r="N12" s="223"/>
      <c r="O12" s="90"/>
      <c r="P12" s="223" t="s">
        <v>65</v>
      </c>
      <c r="Q12" s="223"/>
      <c r="R12" s="223"/>
      <c r="T12" s="80"/>
    </row>
    <row r="13" spans="1:28" s="21" customFormat="1" ht="16.5" customHeight="1" x14ac:dyDescent="0.25">
      <c r="A13" s="188"/>
      <c r="B13" s="188"/>
      <c r="C13" s="187" t="s">
        <v>83</v>
      </c>
      <c r="D13" s="214" t="s">
        <v>72</v>
      </c>
      <c r="E13" s="214"/>
      <c r="F13" s="75"/>
      <c r="G13" s="187" t="s">
        <v>83</v>
      </c>
      <c r="H13" s="214" t="s">
        <v>72</v>
      </c>
      <c r="I13" s="214"/>
      <c r="K13" s="90"/>
      <c r="L13" s="179"/>
      <c r="M13" s="179"/>
      <c r="N13" s="179"/>
      <c r="O13" s="90"/>
      <c r="P13" s="179"/>
      <c r="Q13" s="179"/>
      <c r="R13" s="179"/>
      <c r="T13" s="80"/>
    </row>
    <row r="14" spans="1:28" ht="15.75" customHeight="1" x14ac:dyDescent="0.35">
      <c r="A14" s="46" t="s">
        <v>68</v>
      </c>
      <c r="B14" s="116" t="s">
        <v>8</v>
      </c>
      <c r="C14" s="161" t="s">
        <v>70</v>
      </c>
      <c r="D14" s="110" t="s">
        <v>23</v>
      </c>
      <c r="E14" s="86" t="s">
        <v>17</v>
      </c>
      <c r="F14" s="46"/>
      <c r="G14" s="161" t="s">
        <v>70</v>
      </c>
      <c r="H14" s="110" t="s">
        <v>23</v>
      </c>
      <c r="I14" s="86" t="s">
        <v>17</v>
      </c>
      <c r="K14" s="46" t="s">
        <v>84</v>
      </c>
      <c r="L14" s="46" t="s">
        <v>9</v>
      </c>
      <c r="M14" s="46" t="s">
        <v>10</v>
      </c>
      <c r="N14" s="46" t="s">
        <v>11</v>
      </c>
      <c r="O14" s="46"/>
      <c r="P14" s="46" t="s">
        <v>9</v>
      </c>
      <c r="Q14" s="46" t="s">
        <v>10</v>
      </c>
      <c r="R14" s="46" t="s">
        <v>11</v>
      </c>
      <c r="T14" s="43"/>
    </row>
    <row r="15" spans="1:28" ht="12.75" customHeight="1" x14ac:dyDescent="0.25">
      <c r="A15" s="49">
        <v>0</v>
      </c>
      <c r="B15" s="118">
        <f>A16-A15</f>
        <v>1</v>
      </c>
      <c r="C15" s="50"/>
      <c r="D15" s="51">
        <v>1</v>
      </c>
      <c r="E15" s="52">
        <f>(D15-D16)/(1-(1-IF(D16&gt;0.9,0.9572-2.7733*(D15-D16),0.33))*(D15-D16))</f>
        <v>9.494083763992707E-2</v>
      </c>
      <c r="F15" s="50"/>
      <c r="G15" s="50"/>
      <c r="H15" s="51">
        <v>1</v>
      </c>
      <c r="I15" s="52">
        <f>(H15-H16)/(1-(1-IF(H16&gt;0.9,0.9495-2.899*(H15-H16),0.35))*(H15-H16))</f>
        <v>8.4289707302677305E-2</v>
      </c>
      <c r="K15" s="49">
        <v>0</v>
      </c>
      <c r="L15" s="63">
        <v>0</v>
      </c>
      <c r="M15" s="63">
        <v>0</v>
      </c>
      <c r="N15" s="64">
        <v>1</v>
      </c>
      <c r="O15" s="63"/>
      <c r="P15" s="63">
        <v>0</v>
      </c>
      <c r="Q15" s="63">
        <v>0</v>
      </c>
      <c r="R15" s="64">
        <v>1</v>
      </c>
      <c r="T15" s="43"/>
    </row>
    <row r="16" spans="1:28" ht="12.75" customHeight="1" x14ac:dyDescent="0.25">
      <c r="A16" s="49">
        <v>1</v>
      </c>
      <c r="B16" s="118">
        <f t="shared" ref="B16:B32" si="0">A17-A16</f>
        <v>4</v>
      </c>
      <c r="C16" s="53">
        <f>D$9+D$11*(0.5*LN((1-N16)/N16)-N$34)+(1-D$9/N$34)*L16+(1-C$28/N$35)*M16</f>
        <v>-1.1428064654568555</v>
      </c>
      <c r="D16" s="54">
        <f>1/(1+EXP(2*C16))</f>
        <v>0.90767847824287529</v>
      </c>
      <c r="E16" s="55">
        <f>(D16-D17)/(D16*1.4+D17*2.6)</f>
        <v>7.205061570125122E-3</v>
      </c>
      <c r="F16" s="50"/>
      <c r="G16" s="53">
        <f>H$9+H$11*(0.5*LN((1-R16)/R16)-R$34)+(1-H$9/R$34)*P16+(1-G$28/R$35)*Q16</f>
        <v>-1.2058492764965205</v>
      </c>
      <c r="H16" s="56">
        <f>1/(1+EXP(2*G16))</f>
        <v>0.91771503769199958</v>
      </c>
      <c r="I16" s="55">
        <f>(H16-H17)/(H16*1.4+H17*2.6)</f>
        <v>7.1351360100862602E-3</v>
      </c>
      <c r="K16" s="49">
        <v>1</v>
      </c>
      <c r="L16" s="65">
        <v>-0.16070000000000001</v>
      </c>
      <c r="M16" s="65">
        <v>9.7000000000000003E-3</v>
      </c>
      <c r="N16" s="66">
        <v>0.96870000000000001</v>
      </c>
      <c r="O16" s="63"/>
      <c r="P16" s="65">
        <v>-8.5500000000000007E-2</v>
      </c>
      <c r="Q16" s="65">
        <v>-7.3400000000000007E-2</v>
      </c>
      <c r="R16" s="66">
        <v>0.97455000000000003</v>
      </c>
      <c r="T16" s="43"/>
    </row>
    <row r="17" spans="1:20" ht="12.75" customHeight="1" x14ac:dyDescent="0.25">
      <c r="A17" s="49">
        <v>5</v>
      </c>
      <c r="B17" s="118">
        <f t="shared" si="0"/>
        <v>5</v>
      </c>
      <c r="C17" s="57">
        <f>D9</f>
        <v>-1.0057537157705632</v>
      </c>
      <c r="D17" s="54">
        <f t="shared" ref="D17:D33" si="1">1/(1+EXP(2*C17))</f>
        <v>0.88200000000000001</v>
      </c>
      <c r="E17" s="55">
        <f>(D17-D18)/(D17*2.7+D18*2.3)</f>
        <v>1.9053330421858082E-3</v>
      </c>
      <c r="F17" s="50"/>
      <c r="G17" s="57">
        <f>H9</f>
        <v>-1.0556674527278949</v>
      </c>
      <c r="H17" s="56">
        <f>1/(1+EXP(2*G17))</f>
        <v>0.89200000000000013</v>
      </c>
      <c r="I17" s="55">
        <f>(H17-H18)/(H17*2.7+H18*2.3)</f>
        <v>1.6230418804483895E-3</v>
      </c>
      <c r="K17" s="49">
        <v>5</v>
      </c>
      <c r="L17" s="63">
        <v>0</v>
      </c>
      <c r="M17" s="63">
        <v>0</v>
      </c>
      <c r="N17" s="66">
        <v>0.96009999999999995</v>
      </c>
      <c r="O17" s="63"/>
      <c r="P17" s="63">
        <v>0</v>
      </c>
      <c r="Q17" s="63">
        <v>0</v>
      </c>
      <c r="R17" s="66">
        <v>0.96650999999999998</v>
      </c>
      <c r="T17" s="43"/>
    </row>
    <row r="18" spans="1:20" ht="12.75" customHeight="1" x14ac:dyDescent="0.25">
      <c r="A18" s="49">
        <v>10</v>
      </c>
      <c r="B18" s="118">
        <f t="shared" si="0"/>
        <v>5</v>
      </c>
      <c r="C18" s="53">
        <f t="shared" ref="C18:C27" si="2">D$9+D$11*(0.5*LN((1-N18)/N18)-N$34)+(1-D$9/N$34)*L18+(1-C$28/N$35)*M18</f>
        <v>-0.96674017901200682</v>
      </c>
      <c r="D18" s="54">
        <f t="shared" si="1"/>
        <v>0.87363414269596007</v>
      </c>
      <c r="E18" s="55">
        <f>(D18-D19)/(D18*2.7+D19*2.3)</f>
        <v>1.0014278186149628E-3</v>
      </c>
      <c r="F18" s="50"/>
      <c r="G18" s="53">
        <f t="shared" ref="G18:G27" si="3">H$9+H$11*(0.5*LN((1-R18)/R18)-R$34)+(1-H$9/R$34)*P18+(1-G$28/R$35)*Q18</f>
        <v>-1.0192878396777982</v>
      </c>
      <c r="H18" s="56">
        <f t="shared" ref="H18:H33" si="4">1/(1+EXP(2*G18))</f>
        <v>0.88478815500406682</v>
      </c>
      <c r="I18" s="55">
        <f>(H18-H19)/(H18*2.7+H19*2.3)</f>
        <v>8.0719071985812325E-4</v>
      </c>
      <c r="K18" s="49">
        <v>10</v>
      </c>
      <c r="L18" s="65">
        <v>3.2500000000000001E-2</v>
      </c>
      <c r="M18" s="65">
        <v>-2.5000000000000001E-3</v>
      </c>
      <c r="N18" s="66">
        <v>0.95665999999999995</v>
      </c>
      <c r="O18" s="63"/>
      <c r="P18" s="65">
        <v>2.5999999999999999E-3</v>
      </c>
      <c r="Q18" s="65">
        <v>2.29E-2</v>
      </c>
      <c r="R18" s="66">
        <v>0.9637</v>
      </c>
      <c r="T18" s="43"/>
    </row>
    <row r="19" spans="1:20" ht="12.75" customHeight="1" x14ac:dyDescent="0.25">
      <c r="A19" s="49">
        <v>15</v>
      </c>
      <c r="B19" s="118">
        <f t="shared" si="0"/>
        <v>5</v>
      </c>
      <c r="C19" s="53">
        <f t="shared" si="2"/>
        <v>-0.94725889018044773</v>
      </c>
      <c r="D19" s="54">
        <f t="shared" si="1"/>
        <v>0.86926978737672433</v>
      </c>
      <c r="E19" s="55">
        <f>(D19-D20)/(D19*2.7+D20*2.3)</f>
        <v>8.7800750513953533E-4</v>
      </c>
      <c r="F19" s="50"/>
      <c r="G19" s="53">
        <f t="shared" si="3"/>
        <v>-1.0020353267013895</v>
      </c>
      <c r="H19" s="56">
        <f t="shared" si="4"/>
        <v>0.88122380841249792</v>
      </c>
      <c r="I19" s="55">
        <f>(H19-H20)/(H19*2.7+H20*2.3)</f>
        <v>9.1541792967604293E-4</v>
      </c>
      <c r="K19" s="49">
        <v>15</v>
      </c>
      <c r="L19" s="65">
        <v>2.9700000000000001E-2</v>
      </c>
      <c r="M19" s="65">
        <v>-4.7000000000000002E-3</v>
      </c>
      <c r="N19" s="66">
        <v>0.95384999999999998</v>
      </c>
      <c r="O19" s="63"/>
      <c r="P19" s="65">
        <v>-2.9100000000000001E-2</v>
      </c>
      <c r="Q19" s="65">
        <v>4.8500000000000001E-2</v>
      </c>
      <c r="R19" s="66">
        <v>0.96153</v>
      </c>
      <c r="T19" s="43"/>
    </row>
    <row r="20" spans="1:20" ht="12.75" customHeight="1" x14ac:dyDescent="0.25">
      <c r="A20" s="49">
        <v>20</v>
      </c>
      <c r="B20" s="118">
        <f t="shared" si="0"/>
        <v>5</v>
      </c>
      <c r="C20" s="53">
        <f t="shared" si="2"/>
        <v>-0.93070560470140462</v>
      </c>
      <c r="D20" s="54">
        <f t="shared" si="1"/>
        <v>0.86546135121191703</v>
      </c>
      <c r="E20" s="55">
        <f>(D20-D21)/(D20*2.7+D21*2.3)</f>
        <v>1.7365300326189761E-3</v>
      </c>
      <c r="F20" s="50"/>
      <c r="G20" s="53">
        <f t="shared" si="3"/>
        <v>-0.98308362749172651</v>
      </c>
      <c r="H20" s="56">
        <f t="shared" si="4"/>
        <v>0.87719884245092428</v>
      </c>
      <c r="I20" s="55">
        <f>(H20-H21)/(H20*2.7+H21*2.3)</f>
        <v>1.5379193339990921E-3</v>
      </c>
      <c r="K20" s="49">
        <v>20</v>
      </c>
      <c r="L20" s="65">
        <v>-4.2700000000000002E-2</v>
      </c>
      <c r="M20" s="65">
        <v>-1.8E-3</v>
      </c>
      <c r="N20" s="66">
        <v>0.94782</v>
      </c>
      <c r="O20" s="63"/>
      <c r="P20" s="65">
        <v>-0.11990000000000001</v>
      </c>
      <c r="Q20" s="65">
        <v>0.109</v>
      </c>
      <c r="R20" s="66">
        <v>0.95794999999999997</v>
      </c>
      <c r="T20" s="43"/>
    </row>
    <row r="21" spans="1:20" ht="12.75" customHeight="1" x14ac:dyDescent="0.25">
      <c r="A21" s="49">
        <v>25</v>
      </c>
      <c r="B21" s="118">
        <f t="shared" si="0"/>
        <v>5</v>
      </c>
      <c r="C21" s="53">
        <f t="shared" si="2"/>
        <v>-0.89929309886534436</v>
      </c>
      <c r="D21" s="54">
        <f t="shared" si="1"/>
        <v>0.85797674672276325</v>
      </c>
      <c r="E21" s="55">
        <f t="shared" ref="E21:E27" si="5">(D21-D22)/(D21*2.7+D22*2.3)</f>
        <v>2.2361551035264232E-3</v>
      </c>
      <c r="F21" s="50"/>
      <c r="G21" s="53">
        <f t="shared" si="3"/>
        <v>-0.95259281935336193</v>
      </c>
      <c r="H21" s="56">
        <f t="shared" si="4"/>
        <v>0.87047731264556572</v>
      </c>
      <c r="I21" s="55">
        <f t="shared" ref="I21:I27" si="6">(H21-H22)/(H21*2.7+H22*2.3)</f>
        <v>1.8946043810829682E-3</v>
      </c>
      <c r="K21" s="49">
        <v>25</v>
      </c>
      <c r="L21" s="135">
        <v>-0.12620000000000001</v>
      </c>
      <c r="M21" s="65">
        <v>2.1000000000000001E-2</v>
      </c>
      <c r="N21" s="66">
        <v>0.93915000000000004</v>
      </c>
      <c r="O21" s="63"/>
      <c r="P21" s="65">
        <v>-0.19309999999999999</v>
      </c>
      <c r="Q21" s="65">
        <v>0.17019999999999999</v>
      </c>
      <c r="R21" s="66">
        <v>0.95340000000000003</v>
      </c>
      <c r="T21" s="43"/>
    </row>
    <row r="22" spans="1:20" ht="12.75" customHeight="1" x14ac:dyDescent="0.25">
      <c r="A22" s="49">
        <v>30</v>
      </c>
      <c r="B22" s="118">
        <f t="shared" si="0"/>
        <v>5</v>
      </c>
      <c r="C22" s="53">
        <f t="shared" si="2"/>
        <v>-0.86118162065223924</v>
      </c>
      <c r="D22" s="54">
        <f t="shared" si="1"/>
        <v>0.84843298637365416</v>
      </c>
      <c r="E22" s="55">
        <f t="shared" si="5"/>
        <v>2.7557749832697901E-3</v>
      </c>
      <c r="F22" s="50"/>
      <c r="G22" s="53">
        <f t="shared" si="3"/>
        <v>-0.91712413372177237</v>
      </c>
      <c r="H22" s="56">
        <f t="shared" si="4"/>
        <v>0.86226703900166357</v>
      </c>
      <c r="I22" s="55">
        <f t="shared" si="6"/>
        <v>2.1229378296119127E-3</v>
      </c>
      <c r="K22" s="49">
        <v>30</v>
      </c>
      <c r="L22" s="65">
        <v>-0.18770000000000001</v>
      </c>
      <c r="M22" s="65">
        <v>5.1799999999999999E-2</v>
      </c>
      <c r="N22" s="66">
        <v>0.93006999999999995</v>
      </c>
      <c r="O22" s="63"/>
      <c r="P22" s="65">
        <v>-0.23519999999999999</v>
      </c>
      <c r="Q22" s="65">
        <v>0.2117</v>
      </c>
      <c r="R22" s="66">
        <v>0.94823999999999997</v>
      </c>
      <c r="T22" s="43"/>
    </row>
    <row r="23" spans="1:20" ht="12.75" customHeight="1" x14ac:dyDescent="0.25">
      <c r="A23" s="49">
        <v>35</v>
      </c>
      <c r="B23" s="118">
        <f t="shared" si="0"/>
        <v>5</v>
      </c>
      <c r="C23" s="53">
        <f t="shared" si="2"/>
        <v>-0.81736351196350987</v>
      </c>
      <c r="D23" s="54">
        <f t="shared" si="1"/>
        <v>0.83681616507420808</v>
      </c>
      <c r="E23" s="55">
        <f t="shared" si="5"/>
        <v>3.6500634456965142E-3</v>
      </c>
      <c r="F23" s="50"/>
      <c r="G23" s="53">
        <f t="shared" si="3"/>
        <v>-0.87979704544647197</v>
      </c>
      <c r="H23" s="56">
        <f>1/(1+EXP(2*G23))</f>
        <v>0.85315881566138929</v>
      </c>
      <c r="I23" s="55">
        <f t="shared" si="6"/>
        <v>2.4890248303994361E-3</v>
      </c>
      <c r="K23" s="49">
        <v>35</v>
      </c>
      <c r="L23" s="65">
        <v>-0.24299999999999999</v>
      </c>
      <c r="M23" s="65">
        <v>8.8300000000000003E-2</v>
      </c>
      <c r="N23" s="66">
        <v>0.91949000000000003</v>
      </c>
      <c r="O23" s="63"/>
      <c r="P23" s="65">
        <v>-0.26860000000000001</v>
      </c>
      <c r="Q23" s="65">
        <v>0.24079999999999999</v>
      </c>
      <c r="R23" s="66">
        <v>0.94196999999999997</v>
      </c>
      <c r="T23" s="43"/>
    </row>
    <row r="24" spans="1:20" ht="12.75" customHeight="1" x14ac:dyDescent="0.25">
      <c r="A24" s="49">
        <v>40</v>
      </c>
      <c r="B24" s="118">
        <f t="shared" si="0"/>
        <v>5</v>
      </c>
      <c r="C24" s="53">
        <f t="shared" si="2"/>
        <v>-0.76385546556013761</v>
      </c>
      <c r="D24" s="54">
        <f t="shared" si="1"/>
        <v>0.8216711492178338</v>
      </c>
      <c r="E24" s="55">
        <f t="shared" si="5"/>
        <v>5.1086168349541066E-3</v>
      </c>
      <c r="F24" s="50"/>
      <c r="G24" s="53">
        <f t="shared" si="3"/>
        <v>-0.83885698551457322</v>
      </c>
      <c r="H24" s="56">
        <f t="shared" si="4"/>
        <v>0.84260158585550471</v>
      </c>
      <c r="I24" s="55">
        <f t="shared" si="6"/>
        <v>3.0985562713164122E-3</v>
      </c>
      <c r="K24" s="49">
        <v>40</v>
      </c>
      <c r="L24" s="65">
        <v>-0.28989999999999999</v>
      </c>
      <c r="M24" s="65">
        <v>0.12479999999999999</v>
      </c>
      <c r="N24" s="66">
        <v>0.90575000000000006</v>
      </c>
      <c r="O24" s="63"/>
      <c r="P24" s="65">
        <v>-0.30030000000000001</v>
      </c>
      <c r="Q24" s="65">
        <v>0.2601</v>
      </c>
      <c r="R24" s="66">
        <v>0.93369999999999997</v>
      </c>
      <c r="T24" s="43"/>
    </row>
    <row r="25" spans="1:20" ht="12.75" customHeight="1" x14ac:dyDescent="0.25">
      <c r="A25" s="49">
        <v>45</v>
      </c>
      <c r="B25" s="118">
        <f t="shared" si="0"/>
        <v>5</v>
      </c>
      <c r="C25" s="53">
        <f t="shared" si="2"/>
        <v>-0.69604871670161916</v>
      </c>
      <c r="D25" s="54">
        <f t="shared" si="1"/>
        <v>0.80092687534685247</v>
      </c>
      <c r="E25" s="55">
        <f t="shared" si="5"/>
        <v>7.5780402251796131E-3</v>
      </c>
      <c r="F25" s="50"/>
      <c r="G25" s="53">
        <f t="shared" si="3"/>
        <v>-0.79153801852343286</v>
      </c>
      <c r="H25" s="56">
        <f t="shared" si="4"/>
        <v>0.82963971878647391</v>
      </c>
      <c r="I25" s="55">
        <f t="shared" si="6"/>
        <v>4.4041745496739976E-3</v>
      </c>
      <c r="K25" s="49">
        <v>45</v>
      </c>
      <c r="L25" s="65">
        <v>-0.31480000000000002</v>
      </c>
      <c r="M25" s="65">
        <v>0.1482</v>
      </c>
      <c r="N25" s="66">
        <v>0.88644999999999996</v>
      </c>
      <c r="O25" s="63"/>
      <c r="P25" s="65">
        <v>-0.32029999999999997</v>
      </c>
      <c r="Q25" s="65">
        <v>0.25940000000000002</v>
      </c>
      <c r="R25" s="66">
        <v>0.92220000000000002</v>
      </c>
      <c r="T25" s="43"/>
    </row>
    <row r="26" spans="1:20" ht="12.75" customHeight="1" x14ac:dyDescent="0.25">
      <c r="A26" s="49">
        <v>50</v>
      </c>
      <c r="B26" s="118">
        <f t="shared" si="0"/>
        <v>5</v>
      </c>
      <c r="C26" s="53">
        <f t="shared" si="2"/>
        <v>-0.60726492271745647</v>
      </c>
      <c r="D26" s="54">
        <f t="shared" si="1"/>
        <v>0.77109947146560021</v>
      </c>
      <c r="E26" s="55">
        <f t="shared" si="5"/>
        <v>1.1487992551997766E-2</v>
      </c>
      <c r="F26" s="50"/>
      <c r="G26" s="53">
        <f t="shared" si="3"/>
        <v>-0.73006819356712271</v>
      </c>
      <c r="H26" s="56">
        <f t="shared" si="4"/>
        <v>0.81155353395642071</v>
      </c>
      <c r="I26" s="55">
        <f t="shared" si="6"/>
        <v>6.8527292567873953E-3</v>
      </c>
      <c r="K26" s="49">
        <v>50</v>
      </c>
      <c r="L26" s="65">
        <v>-0.2888</v>
      </c>
      <c r="M26" s="65">
        <v>0.14019999999999999</v>
      </c>
      <c r="N26" s="66">
        <v>0.85833999999999999</v>
      </c>
      <c r="O26" s="63"/>
      <c r="P26" s="65">
        <v>-0.29349999999999998</v>
      </c>
      <c r="Q26" s="65">
        <v>0.21829999999999999</v>
      </c>
      <c r="R26" s="66">
        <v>0.90569</v>
      </c>
      <c r="T26" s="43"/>
    </row>
    <row r="27" spans="1:20" ht="12.75" customHeight="1" x14ac:dyDescent="0.25">
      <c r="A27" s="49">
        <v>55</v>
      </c>
      <c r="B27" s="118">
        <f t="shared" si="0"/>
        <v>5</v>
      </c>
      <c r="C27" s="53">
        <f t="shared" si="2"/>
        <v>-0.49211748601349886</v>
      </c>
      <c r="D27" s="54">
        <f t="shared" si="1"/>
        <v>0.72794771867411967</v>
      </c>
      <c r="E27" s="55">
        <f t="shared" si="5"/>
        <v>1.8065288767014669E-2</v>
      </c>
      <c r="F27" s="50"/>
      <c r="G27" s="53">
        <f t="shared" si="3"/>
        <v>-0.64509167258415023</v>
      </c>
      <c r="H27" s="56">
        <f t="shared" si="4"/>
        <v>0.78417822063267184</v>
      </c>
      <c r="I27" s="55">
        <f t="shared" si="6"/>
        <v>1.1056321598047831E-2</v>
      </c>
      <c r="K27" s="49">
        <v>55</v>
      </c>
      <c r="L27" s="65">
        <v>-0.1915</v>
      </c>
      <c r="M27" s="65">
        <v>9.0999999999999998E-2</v>
      </c>
      <c r="N27" s="66">
        <v>0.81713000000000002</v>
      </c>
      <c r="O27" s="63"/>
      <c r="P27" s="65">
        <v>-0.19670000000000001</v>
      </c>
      <c r="Q27" s="65">
        <v>0.1338</v>
      </c>
      <c r="R27" s="66">
        <v>0.88158999999999998</v>
      </c>
      <c r="T27" s="43"/>
    </row>
    <row r="28" spans="1:20" ht="12.75" customHeight="1" x14ac:dyDescent="0.25">
      <c r="A28" s="49">
        <v>60</v>
      </c>
      <c r="B28" s="118">
        <f t="shared" si="0"/>
        <v>5</v>
      </c>
      <c r="C28" s="53">
        <f>D$9+D$11*(0.5*LN((1-N28)/N28)-N$34)</f>
        <v>-0.342419481129286</v>
      </c>
      <c r="D28" s="54">
        <f t="shared" si="1"/>
        <v>0.66481784650089049</v>
      </c>
      <c r="E28" s="55">
        <f>(D28-D29)/(D28*2.6+D29*2.4)</f>
        <v>2.560279309428256E-2</v>
      </c>
      <c r="F28" s="50"/>
      <c r="G28" s="53">
        <f>H$9+H$11*(0.5*LN((1-R28)/R28)-R$34)</f>
        <v>-0.52794056209473139</v>
      </c>
      <c r="H28" s="56">
        <f t="shared" si="4"/>
        <v>0.74190263629440845</v>
      </c>
      <c r="I28" s="55">
        <f>(H28-H29)/(H28*2.6+H29*2.4)</f>
        <v>1.6789598124313836E-2</v>
      </c>
      <c r="K28" s="49">
        <v>60</v>
      </c>
      <c r="L28" s="63">
        <v>0</v>
      </c>
      <c r="M28" s="63">
        <v>0</v>
      </c>
      <c r="N28" s="66">
        <v>0.75792000000000004</v>
      </c>
      <c r="O28" s="63"/>
      <c r="P28" s="63">
        <v>0</v>
      </c>
      <c r="Q28" s="63">
        <v>0</v>
      </c>
      <c r="R28" s="66">
        <v>0.84679000000000004</v>
      </c>
    </row>
    <row r="29" spans="1:20" ht="12.75" customHeight="1" x14ac:dyDescent="0.25">
      <c r="A29" s="49">
        <v>65</v>
      </c>
      <c r="B29" s="118">
        <f t="shared" si="0"/>
        <v>5</v>
      </c>
      <c r="C29" s="53">
        <f>D$9+D$11*(0.5*LN((1-N29)/N29)-N$34)+(1-D$9/N$34)*L29+(1-C$28/N$35)*M29</f>
        <v>-0.17092250133744763</v>
      </c>
      <c r="D29" s="54">
        <f t="shared" si="1"/>
        <v>0.58463862641190467</v>
      </c>
      <c r="E29" s="55">
        <f>(D29-D30)/(D29*2.6+D30*2.4)</f>
        <v>3.9773696210612344E-2</v>
      </c>
      <c r="F29" s="50"/>
      <c r="G29" s="53">
        <f>H$9+H$11*(0.5*LN((1-R29)/R29)-R$34)+(1-H$9/R$34)*P29+(1-G$28/R$35)*Q29</f>
        <v>-0.38156710351563772</v>
      </c>
      <c r="H29" s="56">
        <f t="shared" si="4"/>
        <v>0.6820338169417095</v>
      </c>
      <c r="I29" s="55">
        <f>(H29-H30)/(H29*2.6+H30*2.4)</f>
        <v>2.8475147263135204E-2</v>
      </c>
      <c r="K29" s="49">
        <v>65</v>
      </c>
      <c r="L29" s="65">
        <v>0.23039999999999999</v>
      </c>
      <c r="M29" s="65">
        <v>-0.11700000000000001</v>
      </c>
      <c r="N29" s="66">
        <v>0.67493000000000003</v>
      </c>
      <c r="O29" s="63"/>
      <c r="P29" s="65">
        <v>0.27939999999999998</v>
      </c>
      <c r="Q29" s="65">
        <v>-0.18590000000000001</v>
      </c>
      <c r="R29" s="66">
        <v>0.79481000000000002</v>
      </c>
    </row>
    <row r="30" spans="1:20" ht="12.75" customHeight="1" x14ac:dyDescent="0.25">
      <c r="A30" s="49">
        <v>70</v>
      </c>
      <c r="B30" s="118">
        <f t="shared" si="0"/>
        <v>5</v>
      </c>
      <c r="C30" s="53">
        <f>D$9+D$11*(0.5*LN((1-N30)/N30)-N$34)+(1-D$9/N$34)*L30+(1-C$28/N$35)*M30</f>
        <v>4.301904713299444E-2</v>
      </c>
      <c r="D30" s="54">
        <f t="shared" si="1"/>
        <v>0.47850373540210894</v>
      </c>
      <c r="E30" s="55">
        <f>(D30-D31)/(D30*2.6+D31*2.4)</f>
        <v>6.1796379094256768E-2</v>
      </c>
      <c r="F30" s="50"/>
      <c r="G30" s="53">
        <f>H$9+H$11*(0.5*LN((1-R30)/R30)-R$34)+(1-H$9/R$34)*P30+(1-G$28/R$35)*Q30</f>
        <v>-0.18434094007469845</v>
      </c>
      <c r="H30" s="56">
        <f t="shared" si="4"/>
        <v>0.5911404358507828</v>
      </c>
      <c r="I30" s="55">
        <f>(H30-H31)/(H30*2.6+H31*2.4)</f>
        <v>4.8187115012701148E-2</v>
      </c>
      <c r="K30" s="49">
        <v>70</v>
      </c>
      <c r="L30" s="65">
        <v>0.55230000000000001</v>
      </c>
      <c r="M30" s="65">
        <v>-0.25790000000000002</v>
      </c>
      <c r="N30" s="66">
        <v>0.56545999999999996</v>
      </c>
      <c r="O30" s="63"/>
      <c r="P30" s="65">
        <v>0.70660000000000001</v>
      </c>
      <c r="Q30" s="65">
        <v>-0.43769999999999998</v>
      </c>
      <c r="R30" s="66">
        <v>0.71762999999999999</v>
      </c>
    </row>
    <row r="31" spans="1:20" ht="12.75" customHeight="1" x14ac:dyDescent="0.25">
      <c r="A31" s="49">
        <v>75</v>
      </c>
      <c r="B31" s="118">
        <f t="shared" si="0"/>
        <v>5</v>
      </c>
      <c r="C31" s="53">
        <f>D$9+D$11*(0.5*LN((1-N31)/N31)-N$34)+(1-D$9/N$34)*L31+(1-C$28/N$35)*M31</f>
        <v>0.31006841902134863</v>
      </c>
      <c r="D31" s="54">
        <f t="shared" si="1"/>
        <v>0.34975033038948344</v>
      </c>
      <c r="E31" s="55">
        <f>(D31-D32)/(D31*2.5+D32*2.5)</f>
        <v>9.574976655821231E-2</v>
      </c>
      <c r="F31" s="50"/>
      <c r="G31" s="53">
        <f>H$9+H$11*(0.5*LN((1-R31)/R31)-R$34)+(1-H$9/R$34)*P31+(1-G$28/R$35)*Q31</f>
        <v>7.3174833112831406E-2</v>
      </c>
      <c r="H31" s="56">
        <f t="shared" si="4"/>
        <v>0.46347774700443067</v>
      </c>
      <c r="I31" s="55">
        <f>(H31-H32)/(H31*2.5+H32*2.5)</f>
        <v>8.0237154328968982E-2</v>
      </c>
      <c r="K31" s="49">
        <v>75</v>
      </c>
      <c r="L31" s="65">
        <v>0.96689999999999998</v>
      </c>
      <c r="M31" s="65">
        <v>-0.41499999999999998</v>
      </c>
      <c r="N31" s="66">
        <v>0.42988999999999999</v>
      </c>
      <c r="O31" s="63"/>
      <c r="P31" s="65">
        <v>1.2835000000000001</v>
      </c>
      <c r="Q31" s="65">
        <v>-0.75339999999999996</v>
      </c>
      <c r="R31" s="66">
        <v>0.60358000000000001</v>
      </c>
    </row>
    <row r="32" spans="1:20" ht="12.75" customHeight="1" x14ac:dyDescent="0.25">
      <c r="A32" s="49">
        <v>80</v>
      </c>
      <c r="B32" s="118">
        <f t="shared" si="0"/>
        <v>5</v>
      </c>
      <c r="C32" s="53">
        <f>D$9+D$11*(0.5*LN((1-N32)/N32)-N$34)+(1-D$9/N$34)*L32+(1-C$28/N$35)*M32</f>
        <v>0.64856672994425457</v>
      </c>
      <c r="D32" s="54">
        <f t="shared" si="1"/>
        <v>0.21464784624330743</v>
      </c>
      <c r="E32" s="55">
        <f>(D32-D33)/(D32*2.4+D33*2.6)</f>
        <v>0.14862111875813749</v>
      </c>
      <c r="F32" s="50"/>
      <c r="G32" s="53">
        <f>H$9+H$11*(0.5*LN((1-R32)/R32)-R$34)+(1-H$9/R$34)*P32+(1-G$28/R$35)*Q32</f>
        <v>0.40332762041288733</v>
      </c>
      <c r="H32" s="56">
        <f t="shared" si="4"/>
        <v>0.30860370121594938</v>
      </c>
      <c r="I32" s="55">
        <f>(H32-H33)/(H32*2.4+H33*2.6)</f>
        <v>0.12900112149586007</v>
      </c>
      <c r="K32" s="49">
        <v>80</v>
      </c>
      <c r="L32" s="65">
        <v>1.5013000000000001</v>
      </c>
      <c r="M32" s="65">
        <v>-0.59360000000000002</v>
      </c>
      <c r="N32" s="66">
        <v>0.28116999999999998</v>
      </c>
      <c r="O32" s="63"/>
      <c r="P32" s="65">
        <v>2.0295999999999998</v>
      </c>
      <c r="Q32" s="65">
        <v>-1.1359999999999999</v>
      </c>
      <c r="R32" s="66">
        <v>0.44957999999999998</v>
      </c>
    </row>
    <row r="33" spans="1:18" ht="12.75" customHeight="1" x14ac:dyDescent="0.25">
      <c r="A33" s="58">
        <v>85</v>
      </c>
      <c r="B33" s="58"/>
      <c r="C33" s="59">
        <f>D$9+D$11*(0.5*LN((1-N33)/N33)-N$34)+(1-D$9/N$34)*L33+(1-C$28/N$35)*M33</f>
        <v>1.1008463783676175</v>
      </c>
      <c r="D33" s="60">
        <f t="shared" si="1"/>
        <v>9.9598581965052821E-2</v>
      </c>
      <c r="E33" s="61">
        <f>EXP(2*LN(E32)-LN(E31))</f>
        <v>0.23068711010894818</v>
      </c>
      <c r="F33" s="62"/>
      <c r="G33" s="59">
        <f>H$9+H$11*(0.5*LN((1-R33)/R33)-R$34)+(1-H$9/R$34)*P33+(1-G$28/R$35)*Q33</f>
        <v>0.83080225858498824</v>
      </c>
      <c r="H33" s="60">
        <f t="shared" si="4"/>
        <v>0.15954672717107313</v>
      </c>
      <c r="I33" s="61">
        <f>EXP(2*LN(I32)-LN(I31))</f>
        <v>0.20740129041666971</v>
      </c>
      <c r="K33" s="58">
        <v>85</v>
      </c>
      <c r="L33" s="67">
        <v>2.2126000000000001</v>
      </c>
      <c r="M33" s="67">
        <v>-0.80510000000000004</v>
      </c>
      <c r="N33" s="68">
        <v>0.14363999999999999</v>
      </c>
      <c r="O33" s="63"/>
      <c r="P33" s="67">
        <v>2.9575999999999998</v>
      </c>
      <c r="Q33" s="67">
        <v>-1.5773999999999999</v>
      </c>
      <c r="R33" s="68">
        <v>0.27123000000000003</v>
      </c>
    </row>
    <row r="34" spans="1:18" ht="14.25" customHeight="1" x14ac:dyDescent="0.3">
      <c r="C34" s="47"/>
      <c r="D34" s="47"/>
      <c r="E34" s="47"/>
      <c r="G34" s="47"/>
      <c r="H34" s="47"/>
      <c r="I34" s="47"/>
      <c r="K34" s="69" t="s">
        <v>12</v>
      </c>
      <c r="L34" s="70"/>
      <c r="M34" s="70"/>
      <c r="N34" s="117">
        <f>0.5*LN((1-N$17)/N$17)</f>
        <v>-1.5903305609038796</v>
      </c>
      <c r="O34" s="70"/>
      <c r="P34" s="70"/>
      <c r="Q34" s="70"/>
      <c r="R34" s="117">
        <f>0.5*LN((1-R$17)/R$17)</f>
        <v>-1.6812223792001153</v>
      </c>
    </row>
    <row r="35" spans="1:18" ht="14.25" customHeight="1" x14ac:dyDescent="0.3">
      <c r="C35" s="47"/>
      <c r="D35" s="47"/>
      <c r="E35" s="47"/>
      <c r="G35" s="47"/>
      <c r="H35" s="47"/>
      <c r="I35" s="47"/>
      <c r="K35" s="71" t="s">
        <v>13</v>
      </c>
      <c r="L35" s="62"/>
      <c r="M35" s="62"/>
      <c r="N35" s="59">
        <f>0.5*LN((1-N$28)/N$28)</f>
        <v>-0.57065479456769808</v>
      </c>
      <c r="O35" s="62"/>
      <c r="P35" s="62"/>
      <c r="Q35" s="62"/>
      <c r="R35" s="59">
        <f>0.5*LN((1-R$28)/R$28)</f>
        <v>-0.85482160034970411</v>
      </c>
    </row>
    <row r="36" spans="1:18" x14ac:dyDescent="0.25">
      <c r="C36" s="47"/>
      <c r="D36" s="47"/>
      <c r="E36" s="47"/>
      <c r="G36" s="47"/>
      <c r="H36" s="47"/>
      <c r="I36" s="47"/>
    </row>
    <row r="37" spans="1:18" x14ac:dyDescent="0.25">
      <c r="C37" s="47"/>
      <c r="D37" s="47"/>
      <c r="E37" s="47"/>
      <c r="G37" s="47"/>
      <c r="H37" s="47"/>
      <c r="I37" s="47"/>
    </row>
    <row r="38" spans="1:18" x14ac:dyDescent="0.25">
      <c r="C38" s="47"/>
      <c r="D38" s="47"/>
      <c r="E38" s="47"/>
      <c r="G38" s="47"/>
      <c r="H38" s="47"/>
      <c r="I38" s="47"/>
    </row>
    <row r="39" spans="1:18" x14ac:dyDescent="0.25">
      <c r="C39" s="47"/>
      <c r="D39" s="47"/>
      <c r="E39" s="47"/>
      <c r="G39" s="47"/>
      <c r="H39" s="47"/>
      <c r="I39" s="47"/>
    </row>
    <row r="40" spans="1:18" x14ac:dyDescent="0.25">
      <c r="C40" s="47"/>
      <c r="D40" s="47"/>
      <c r="E40" s="47"/>
      <c r="G40" s="47"/>
      <c r="H40" s="47"/>
      <c r="I40" s="47"/>
    </row>
    <row r="41" spans="1:18" x14ac:dyDescent="0.25">
      <c r="C41" s="47"/>
      <c r="D41" s="47"/>
      <c r="E41" s="47"/>
      <c r="G41" s="47"/>
      <c r="H41" s="47"/>
      <c r="I41" s="47"/>
    </row>
    <row r="42" spans="1:18" x14ac:dyDescent="0.25">
      <c r="C42" s="47"/>
      <c r="D42" s="47"/>
      <c r="E42" s="47"/>
      <c r="G42" s="47"/>
      <c r="H42" s="47"/>
      <c r="I42" s="47"/>
    </row>
    <row r="43" spans="1:18" x14ac:dyDescent="0.25">
      <c r="C43" s="47"/>
      <c r="D43" s="47"/>
      <c r="E43" s="47"/>
      <c r="G43" s="47"/>
      <c r="H43" s="47"/>
      <c r="I43" s="47"/>
    </row>
    <row r="44" spans="1:18" x14ac:dyDescent="0.25">
      <c r="C44" s="47"/>
      <c r="D44" s="47"/>
      <c r="E44" s="47"/>
      <c r="G44" s="47"/>
      <c r="H44" s="47"/>
      <c r="I44" s="47"/>
    </row>
    <row r="45" spans="1:18" x14ac:dyDescent="0.25">
      <c r="C45" s="47"/>
      <c r="D45" s="47"/>
      <c r="E45" s="47"/>
      <c r="G45" s="47"/>
      <c r="H45" s="47"/>
      <c r="I45" s="47"/>
    </row>
    <row r="46" spans="1:18" x14ac:dyDescent="0.25">
      <c r="C46" s="47"/>
      <c r="D46" s="47"/>
      <c r="E46" s="47"/>
      <c r="G46" s="47"/>
      <c r="H46" s="47"/>
      <c r="I46" s="47"/>
    </row>
    <row r="47" spans="1:18" x14ac:dyDescent="0.25">
      <c r="C47" s="47"/>
      <c r="D47" s="47"/>
      <c r="E47" s="47"/>
      <c r="G47" s="47"/>
      <c r="H47" s="47"/>
      <c r="I47" s="47"/>
    </row>
    <row r="48" spans="1:18" x14ac:dyDescent="0.25">
      <c r="C48" s="47"/>
      <c r="D48" s="47"/>
      <c r="E48" s="47"/>
      <c r="G48" s="47"/>
      <c r="H48" s="47"/>
      <c r="I48" s="47"/>
    </row>
    <row r="49" spans="3:9" x14ac:dyDescent="0.25">
      <c r="C49" s="47"/>
      <c r="D49" s="47"/>
      <c r="E49" s="47"/>
      <c r="G49" s="47"/>
      <c r="H49" s="47"/>
      <c r="I49" s="47"/>
    </row>
  </sheetData>
  <sheetProtection autoFilter="0" pivotTables="0"/>
  <mergeCells count="10">
    <mergeCell ref="A1:J1"/>
    <mergeCell ref="K11:R11"/>
    <mergeCell ref="K6:R6"/>
    <mergeCell ref="L7:R10"/>
    <mergeCell ref="D13:E13"/>
    <mergeCell ref="H13:I13"/>
    <mergeCell ref="L12:N12"/>
    <mergeCell ref="P12:R12"/>
    <mergeCell ref="C6:E6"/>
    <mergeCell ref="G6:I6"/>
  </mergeCells>
  <phoneticPr fontId="35" type="noConversion"/>
  <conditionalFormatting sqref="H15:I33 H10:H12">
    <cfRule type="expression" dxfId="3" priority="27">
      <formula>ABS($I$11)&gt;0.0001</formula>
    </cfRule>
  </conditionalFormatting>
  <conditionalFormatting sqref="D15:E33 D10:D12">
    <cfRule type="expression" dxfId="2" priority="9">
      <formula>ABS($E$11)&gt;0.0001</formula>
    </cfRule>
  </conditionalFormatting>
  <pageMargins left="0.7" right="0.7" top="0.75" bottom="0.75" header="0.3" footer="0.3"/>
  <pageSetup paperSize="9" orientation="portrait" r:id="rId1"/>
  <ignoredErrors>
    <ignoredError sqref="C17 C28 G28 G17" formula="1"/>
    <ignoredError sqref="H12 D12"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6"/>
  <sheetViews>
    <sheetView workbookViewId="0">
      <selection activeCell="H12" sqref="H12"/>
    </sheetView>
  </sheetViews>
  <sheetFormatPr defaultColWidth="9.109375" defaultRowHeight="13.8" x14ac:dyDescent="0.25"/>
  <cols>
    <col min="1" max="1" width="8.88671875" style="18" customWidth="1"/>
    <col min="2" max="2" width="3" style="18" bestFit="1" customWidth="1"/>
    <col min="3" max="3" width="8.88671875" style="18" customWidth="1"/>
    <col min="4" max="5" width="8.44140625" style="18" customWidth="1"/>
    <col min="6" max="6" width="2.6640625" style="18" customWidth="1"/>
    <col min="7" max="7" width="9.88671875" style="18" customWidth="1"/>
    <col min="8" max="8" width="8.44140625" style="18" customWidth="1"/>
    <col min="9" max="9" width="8.6640625" style="18" customWidth="1"/>
    <col min="10" max="10" width="4.6640625" style="18" customWidth="1"/>
    <col min="11" max="11" width="8.88671875" style="18" customWidth="1"/>
    <col min="12" max="15" width="7.109375" style="18" customWidth="1"/>
    <col min="16" max="16" width="2.6640625" style="18" customWidth="1"/>
    <col min="17" max="20" width="7.109375" style="18" customWidth="1"/>
    <col min="21" max="16384" width="9.109375" style="18"/>
  </cols>
  <sheetData>
    <row r="1" spans="1:23" x14ac:dyDescent="0.25">
      <c r="A1" s="212" t="s">
        <v>87</v>
      </c>
      <c r="B1" s="213"/>
      <c r="C1" s="213"/>
      <c r="D1" s="213"/>
      <c r="E1" s="213"/>
      <c r="F1" s="213"/>
      <c r="G1" s="213"/>
      <c r="H1" s="213"/>
      <c r="I1" s="213"/>
    </row>
    <row r="2" spans="1:23" ht="7.35" customHeight="1" x14ac:dyDescent="0.25">
      <c r="A2" s="31"/>
      <c r="B2" s="31"/>
      <c r="C2" s="224"/>
      <c r="D2" s="224"/>
      <c r="E2" s="224"/>
      <c r="F2" s="224"/>
      <c r="G2" s="224"/>
      <c r="H2" s="224"/>
      <c r="I2" s="224"/>
      <c r="J2" s="224"/>
    </row>
    <row r="3" spans="1:23" x14ac:dyDescent="0.25">
      <c r="A3" s="39" t="s">
        <v>49</v>
      </c>
      <c r="B3" s="39"/>
      <c r="C3" s="40" t="s">
        <v>88</v>
      </c>
      <c r="D3" s="40"/>
      <c r="E3" s="40"/>
      <c r="F3" s="40"/>
      <c r="G3" s="40"/>
      <c r="H3" s="40"/>
      <c r="I3" s="40"/>
      <c r="J3" s="40"/>
    </row>
    <row r="4" spans="1:23" x14ac:dyDescent="0.25">
      <c r="A4" s="39" t="s">
        <v>52</v>
      </c>
      <c r="B4" s="40"/>
      <c r="C4" s="145" t="s">
        <v>78</v>
      </c>
      <c r="D4" s="145"/>
      <c r="E4" s="149"/>
      <c r="F4" s="145" t="s">
        <v>86</v>
      </c>
      <c r="G4" s="145"/>
      <c r="H4" s="145"/>
      <c r="I4" s="145"/>
      <c r="J4" s="145"/>
      <c r="K4" s="38"/>
      <c r="L4" s="30"/>
    </row>
    <row r="5" spans="1:23" ht="7.35" customHeight="1" x14ac:dyDescent="0.25"/>
    <row r="6" spans="1:23" s="21" customFormat="1" x14ac:dyDescent="0.25">
      <c r="A6" s="34"/>
      <c r="B6" s="34"/>
      <c r="C6" s="123"/>
      <c r="D6" s="45" t="s">
        <v>64</v>
      </c>
      <c r="E6" s="45"/>
      <c r="F6" s="48"/>
      <c r="G6" s="209" t="s">
        <v>65</v>
      </c>
      <c r="H6" s="209"/>
      <c r="I6" s="209"/>
      <c r="K6" s="211" t="s">
        <v>82</v>
      </c>
      <c r="L6" s="211"/>
      <c r="M6" s="211"/>
      <c r="N6" s="211"/>
      <c r="O6" s="211"/>
      <c r="P6" s="211"/>
      <c r="Q6" s="211"/>
      <c r="R6" s="211"/>
      <c r="S6" s="211"/>
      <c r="T6" s="211"/>
    </row>
    <row r="7" spans="1:23" s="21" customFormat="1" ht="15.6" x14ac:dyDescent="0.35">
      <c r="A7" s="50"/>
      <c r="B7" s="50"/>
      <c r="C7" s="90" t="s">
        <v>14</v>
      </c>
      <c r="D7" s="74">
        <f>Introduction!D18</f>
        <v>0.11799999999999999</v>
      </c>
      <c r="E7" s="75"/>
      <c r="F7" s="50"/>
      <c r="G7" s="90" t="s">
        <v>14</v>
      </c>
      <c r="H7" s="74">
        <f>Introduction!D19</f>
        <v>0.108</v>
      </c>
      <c r="I7" s="75"/>
      <c r="K7" s="50"/>
      <c r="L7" s="50"/>
      <c r="M7" s="50"/>
      <c r="N7" s="50"/>
      <c r="O7" s="50"/>
      <c r="P7" s="50"/>
      <c r="Q7" s="50"/>
      <c r="R7" s="50"/>
      <c r="S7" s="50"/>
      <c r="T7" s="50"/>
      <c r="W7" s="21" t="str">
        <f>"拟合的"&amp;Introduction!D15&amp;"生命表"&amp;" - 对数二次法"</f>
        <v>拟合的肯尼亚 c.1985生命表 - 对数二次法</v>
      </c>
    </row>
    <row r="8" spans="1:23" s="21" customFormat="1" ht="13.2" x14ac:dyDescent="0.25">
      <c r="A8" s="50"/>
      <c r="B8" s="50"/>
      <c r="C8" s="93" t="str">
        <f>Introduction!D22</f>
        <v>45q15</v>
      </c>
      <c r="D8" s="78">
        <f>Introduction!D24</f>
        <v>0.23519999999999999</v>
      </c>
      <c r="E8" s="50"/>
      <c r="F8" s="50"/>
      <c r="G8" s="93" t="str">
        <f>Introduction!D22</f>
        <v>45q15</v>
      </c>
      <c r="H8" s="78">
        <f>Introduction!D25</f>
        <v>0.15809999999999999</v>
      </c>
      <c r="I8" s="50"/>
      <c r="K8" s="50"/>
      <c r="L8" s="50"/>
      <c r="M8" s="50"/>
      <c r="N8" s="50"/>
      <c r="O8" s="50"/>
      <c r="P8" s="50"/>
      <c r="Q8" s="50"/>
      <c r="R8" s="50"/>
      <c r="S8" s="50"/>
      <c r="T8" s="50"/>
    </row>
    <row r="9" spans="1:23" s="21" customFormat="1" ht="13.2" x14ac:dyDescent="0.25">
      <c r="A9" s="50"/>
      <c r="B9" s="50"/>
      <c r="C9" s="93" t="s">
        <v>2</v>
      </c>
      <c r="D9" s="57">
        <f>LN(D7)</f>
        <v>-2.1370706545164722</v>
      </c>
      <c r="E9" s="75"/>
      <c r="F9" s="50"/>
      <c r="G9" s="93" t="s">
        <v>2</v>
      </c>
      <c r="H9" s="57">
        <f>LN(H7)</f>
        <v>-2.2256240518579173</v>
      </c>
      <c r="I9" s="75"/>
      <c r="K9" s="50"/>
      <c r="L9" s="50"/>
      <c r="M9" s="50"/>
      <c r="N9" s="50"/>
      <c r="O9" s="50"/>
      <c r="P9" s="50"/>
      <c r="Q9" s="50"/>
      <c r="R9" s="50"/>
      <c r="S9" s="50"/>
      <c r="T9" s="50"/>
    </row>
    <row r="10" spans="1:23" s="21" customFormat="1" ht="13.2" x14ac:dyDescent="0.25">
      <c r="A10" s="75"/>
      <c r="B10" s="75"/>
      <c r="C10" s="93" t="s">
        <v>3</v>
      </c>
      <c r="D10" s="78">
        <v>-1.2551171669268064</v>
      </c>
      <c r="E10" s="189">
        <f>D8-(1-IF(C8="35q15",E24,E26)/E17)</f>
        <v>6.6335093198977013E-7</v>
      </c>
      <c r="F10" s="50"/>
      <c r="G10" s="93" t="s">
        <v>3</v>
      </c>
      <c r="H10" s="78">
        <v>-2.525762738040807</v>
      </c>
      <c r="I10" s="189">
        <f>H8-(1-IF(G8="35q15",I24,I26)/I17)</f>
        <v>6.3516766846127837E-10</v>
      </c>
      <c r="K10" s="50"/>
      <c r="L10" s="50"/>
      <c r="M10" s="50"/>
      <c r="N10" s="50"/>
      <c r="O10" s="50"/>
      <c r="P10" s="50"/>
      <c r="Q10" s="50"/>
      <c r="R10" s="50"/>
      <c r="S10" s="50"/>
      <c r="T10" s="50"/>
    </row>
    <row r="11" spans="1:23" s="21" customFormat="1" ht="15.6" x14ac:dyDescent="0.35">
      <c r="A11" s="75"/>
      <c r="B11" s="75"/>
      <c r="C11" s="90" t="s">
        <v>16</v>
      </c>
      <c r="D11" s="171">
        <f t="array" ref="D11">SUM((E13:E35-E14:E36)/D13:D35)+E36/D36</f>
        <v>59.347828334830112</v>
      </c>
      <c r="E11" s="50"/>
      <c r="F11" s="75"/>
      <c r="G11" s="90" t="s">
        <v>16</v>
      </c>
      <c r="H11" s="171">
        <f t="array" ref="H11">SUM((I13:I35-I14:I36)/H13:H35)+I36/H36</f>
        <v>63.853027288379884</v>
      </c>
      <c r="I11" s="75"/>
      <c r="K11" s="48"/>
      <c r="L11" s="209" t="s">
        <v>64</v>
      </c>
      <c r="M11" s="209"/>
      <c r="N11" s="209"/>
      <c r="O11" s="209"/>
      <c r="P11" s="42"/>
      <c r="Q11" s="209" t="s">
        <v>65</v>
      </c>
      <c r="R11" s="209"/>
      <c r="S11" s="209"/>
      <c r="T11" s="209"/>
    </row>
    <row r="12" spans="1:23" s="21" customFormat="1" ht="33.15" customHeight="1" x14ac:dyDescent="0.35">
      <c r="A12" s="46" t="s">
        <v>68</v>
      </c>
      <c r="B12" s="116" t="s">
        <v>8</v>
      </c>
      <c r="C12" s="174" t="s">
        <v>89</v>
      </c>
      <c r="D12" s="193" t="s">
        <v>133</v>
      </c>
      <c r="E12" s="86" t="s">
        <v>80</v>
      </c>
      <c r="F12" s="179"/>
      <c r="G12" s="174" t="s">
        <v>89</v>
      </c>
      <c r="H12" s="193" t="s">
        <v>133</v>
      </c>
      <c r="I12" s="86" t="s">
        <v>80</v>
      </c>
      <c r="K12" s="44" t="s">
        <v>68</v>
      </c>
      <c r="L12" s="116" t="s">
        <v>18</v>
      </c>
      <c r="M12" s="116" t="s">
        <v>19</v>
      </c>
      <c r="N12" s="116" t="s">
        <v>20</v>
      </c>
      <c r="O12" s="116" t="s">
        <v>21</v>
      </c>
      <c r="P12" s="46"/>
      <c r="Q12" s="116" t="s">
        <v>18</v>
      </c>
      <c r="R12" s="116" t="s">
        <v>19</v>
      </c>
      <c r="S12" s="116" t="s">
        <v>20</v>
      </c>
      <c r="T12" s="116" t="s">
        <v>21</v>
      </c>
    </row>
    <row r="13" spans="1:23" s="21" customFormat="1" ht="12.75" customHeight="1" x14ac:dyDescent="0.25">
      <c r="A13" s="90">
        <v>0</v>
      </c>
      <c r="B13" s="118">
        <f>A14-A13</f>
        <v>1</v>
      </c>
      <c r="C13" s="57">
        <f>$L13+$M13*D$9+$N13*D$9^2+$O13*D$10</f>
        <v>-2.3666977214159366</v>
      </c>
      <c r="D13" s="57">
        <f>EXP(C13)</f>
        <v>9.378993594570556E-2</v>
      </c>
      <c r="E13" s="172">
        <v>1</v>
      </c>
      <c r="F13" s="75"/>
      <c r="G13" s="57">
        <f>$Q13+$R13*H$9+$S13*H$9^2+$T13*H$10</f>
        <v>-2.5092787684873978</v>
      </c>
      <c r="H13" s="57">
        <f>EXP(G13)</f>
        <v>8.1326873597937249E-2</v>
      </c>
      <c r="I13" s="172">
        <v>1</v>
      </c>
      <c r="K13" s="173">
        <f>A13</f>
        <v>0</v>
      </c>
      <c r="L13" s="50">
        <v>-0.5101</v>
      </c>
      <c r="M13" s="50">
        <v>0.81640000000000001</v>
      </c>
      <c r="N13" s="50">
        <v>-2.4500000000000001E-2</v>
      </c>
      <c r="O13" s="50">
        <v>0</v>
      </c>
      <c r="P13" s="50"/>
      <c r="Q13" s="50">
        <v>-0.66190000000000004</v>
      </c>
      <c r="R13" s="50">
        <v>0.76839999999999997</v>
      </c>
      <c r="S13" s="50">
        <v>-2.7699999999999999E-2</v>
      </c>
      <c r="T13" s="50">
        <v>0</v>
      </c>
    </row>
    <row r="14" spans="1:23" s="21" customFormat="1" ht="12.75" customHeight="1" x14ac:dyDescent="0.25">
      <c r="A14" s="90">
        <v>1</v>
      </c>
      <c r="B14" s="118">
        <f t="shared" ref="B14:B35" si="0">A15-A14</f>
        <v>4</v>
      </c>
      <c r="C14" s="57"/>
      <c r="D14" s="57">
        <f>(E14-E15)/(1.4*E14+2.6*E15)</f>
        <v>8.4071255090909704E-3</v>
      </c>
      <c r="E14" s="56">
        <f>1-D13/(1+IF(D13&lt;0.107,0.955-2.684*D13,0.33)*D13)</f>
        <v>0.91201359811696114</v>
      </c>
      <c r="F14" s="75"/>
      <c r="G14" s="57"/>
      <c r="H14" s="57">
        <f>(I14-I15)/(1.4*I14+2.6*I15)</f>
        <v>8.6297779033410477E-3</v>
      </c>
      <c r="I14" s="56">
        <f>1-H13/(1+IF(H13&lt;0.107,0.947-2.8*H13,0.35)*H13)</f>
        <v>0.92316760487005156</v>
      </c>
      <c r="K14" s="173">
        <f t="shared" ref="K14:K35" si="1">A14</f>
        <v>1</v>
      </c>
      <c r="L14" s="50"/>
      <c r="M14" s="50"/>
      <c r="N14" s="50"/>
      <c r="O14" s="50"/>
      <c r="P14" s="50"/>
      <c r="Q14" s="50"/>
      <c r="R14" s="50"/>
      <c r="S14" s="50"/>
      <c r="T14" s="50"/>
    </row>
    <row r="15" spans="1:23" s="21" customFormat="1" ht="12.75" customHeight="1" x14ac:dyDescent="0.25">
      <c r="A15" s="111">
        <v>5</v>
      </c>
      <c r="B15" s="118">
        <f t="shared" si="0"/>
        <v>5</v>
      </c>
      <c r="C15" s="57">
        <f t="shared" ref="C15:C36" si="2">$L15+$M15*D$9+$N15*D$9^2+$O15*D$10</f>
        <v>-6.1495573428963546</v>
      </c>
      <c r="D15" s="57">
        <f>EXP(C15)</f>
        <v>2.1344263799524341E-3</v>
      </c>
      <c r="E15" s="56">
        <f>1-D7</f>
        <v>0.88200000000000001</v>
      </c>
      <c r="F15" s="75"/>
      <c r="G15" s="57">
        <f t="shared" ref="G15:G36" si="3">$Q15+$R15*H$9+$S15*H$9^2+$T15*H$10</f>
        <v>-6.7211263713167684</v>
      </c>
      <c r="H15" s="57">
        <f>EXP(G15)</f>
        <v>1.2051799690089306E-3</v>
      </c>
      <c r="I15" s="56">
        <f>1-H7</f>
        <v>0.89200000000000002</v>
      </c>
      <c r="K15" s="173">
        <f t="shared" si="1"/>
        <v>5</v>
      </c>
      <c r="L15" s="53">
        <v>-3.0434999999999999</v>
      </c>
      <c r="M15" s="53">
        <v>1.5269999999999999</v>
      </c>
      <c r="N15" s="53">
        <v>8.1699999999999995E-2</v>
      </c>
      <c r="O15" s="53">
        <v>0.17199999999999999</v>
      </c>
      <c r="P15" s="53"/>
      <c r="Q15" s="53">
        <v>-2.5608</v>
      </c>
      <c r="R15" s="53">
        <v>1.7937000000000001</v>
      </c>
      <c r="S15" s="53">
        <v>0.1082</v>
      </c>
      <c r="T15" s="53">
        <v>0.27879999999999999</v>
      </c>
    </row>
    <row r="16" spans="1:23" s="21" customFormat="1" ht="12.75" customHeight="1" x14ac:dyDescent="0.25">
      <c r="A16" s="111">
        <v>10</v>
      </c>
      <c r="B16" s="118">
        <f t="shared" si="0"/>
        <v>5</v>
      </c>
      <c r="C16" s="57">
        <f t="shared" si="2"/>
        <v>-6.523087631462861</v>
      </c>
      <c r="D16" s="57">
        <f t="shared" ref="D16:D36" si="4">EXP(C16)</f>
        <v>1.4691259726321703E-3</v>
      </c>
      <c r="E16" s="56">
        <f>E15*(1-5*D15/(1+2.3*D15))</f>
        <v>0.87263316315880601</v>
      </c>
      <c r="F16" s="75"/>
      <c r="G16" s="57">
        <f t="shared" si="3"/>
        <v>-7.2754701354716778</v>
      </c>
      <c r="H16" s="57">
        <f t="shared" ref="H16:H36" si="5">EXP(G16)</f>
        <v>6.9231456255116502E-4</v>
      </c>
      <c r="I16" s="56">
        <f>I15*(1-5*H15/(1+2.3*H15))</f>
        <v>0.88663975547468132</v>
      </c>
      <c r="K16" s="173">
        <f t="shared" si="1"/>
        <v>10</v>
      </c>
      <c r="L16" s="53">
        <v>-3.9554</v>
      </c>
      <c r="M16" s="53">
        <v>1.2390000000000001</v>
      </c>
      <c r="N16" s="53">
        <v>6.3799999999999996E-2</v>
      </c>
      <c r="O16" s="53">
        <v>0.16830000000000001</v>
      </c>
      <c r="P16" s="53"/>
      <c r="Q16" s="53">
        <v>-3.2435</v>
      </c>
      <c r="R16" s="53">
        <v>1.6653</v>
      </c>
      <c r="S16" s="53">
        <v>0.10879999999999999</v>
      </c>
      <c r="T16" s="53">
        <v>0.34229999999999999</v>
      </c>
    </row>
    <row r="17" spans="1:20" s="21" customFormat="1" ht="12.75" customHeight="1" x14ac:dyDescent="0.25">
      <c r="A17" s="111">
        <v>15</v>
      </c>
      <c r="B17" s="118">
        <f t="shared" si="0"/>
        <v>5</v>
      </c>
      <c r="C17" s="57">
        <f t="shared" si="2"/>
        <v>-6.093996653426645</v>
      </c>
      <c r="D17" s="57">
        <f t="shared" si="4"/>
        <v>2.2563729293910554E-3</v>
      </c>
      <c r="E17" s="56">
        <f t="shared" ref="E17:E24" si="6">E16*(1-5*D16/(1+2.3*D16))</f>
        <v>0.86624470945542154</v>
      </c>
      <c r="F17" s="75"/>
      <c r="G17" s="57">
        <f t="shared" si="3"/>
        <v>-7.0696361862549937</v>
      </c>
      <c r="H17" s="57">
        <f t="shared" si="5"/>
        <v>8.5054249193373304E-4</v>
      </c>
      <c r="I17" s="56">
        <f t="shared" ref="I17:I24" si="7">I16*(1-5*H16/(1+2.3*H16))</f>
        <v>0.88357546674136378</v>
      </c>
      <c r="K17" s="173">
        <f t="shared" si="1"/>
        <v>15</v>
      </c>
      <c r="L17" s="53">
        <v>-3.9373999999999998</v>
      </c>
      <c r="M17" s="53">
        <v>1.0425</v>
      </c>
      <c r="N17" s="53">
        <v>7.4999999999999997E-2</v>
      </c>
      <c r="O17" s="53">
        <v>0.21609999999999999</v>
      </c>
      <c r="P17" s="53"/>
      <c r="Q17" s="53">
        <v>-3.1099000000000001</v>
      </c>
      <c r="R17" s="53">
        <v>1.5797000000000001</v>
      </c>
      <c r="S17" s="53">
        <v>0.1147</v>
      </c>
      <c r="T17" s="53">
        <v>0.4007</v>
      </c>
    </row>
    <row r="18" spans="1:20" s="21" customFormat="1" ht="12.75" customHeight="1" x14ac:dyDescent="0.25">
      <c r="A18" s="111">
        <v>20</v>
      </c>
      <c r="B18" s="118">
        <f t="shared" si="0"/>
        <v>5</v>
      </c>
      <c r="C18" s="57">
        <f t="shared" si="2"/>
        <v>-5.8541092195860527</v>
      </c>
      <c r="D18" s="57">
        <f>EXP(C18)</f>
        <v>2.8680893013274468E-3</v>
      </c>
      <c r="E18" s="56">
        <f t="shared" si="6"/>
        <v>0.85652230981870703</v>
      </c>
      <c r="F18" s="75"/>
      <c r="G18" s="57">
        <f t="shared" si="3"/>
        <v>-6.8722406402109133</v>
      </c>
      <c r="H18" s="57">
        <f>EXP(G18)</f>
        <v>1.0361528160210715E-3</v>
      </c>
      <c r="I18" s="56">
        <f t="shared" si="7"/>
        <v>0.8798252107746225</v>
      </c>
      <c r="K18" s="173">
        <f t="shared" si="1"/>
        <v>20</v>
      </c>
      <c r="L18" s="53">
        <v>-3.4165000000000001</v>
      </c>
      <c r="M18" s="53">
        <v>1.1651</v>
      </c>
      <c r="N18" s="53">
        <v>9.4500000000000001E-2</v>
      </c>
      <c r="O18" s="53">
        <v>0.30220000000000002</v>
      </c>
      <c r="P18" s="53"/>
      <c r="Q18" s="53">
        <v>-2.9788999999999999</v>
      </c>
      <c r="R18" s="53">
        <v>1.5053000000000001</v>
      </c>
      <c r="S18" s="53">
        <v>0.1011</v>
      </c>
      <c r="T18" s="53">
        <v>0.4133</v>
      </c>
    </row>
    <row r="19" spans="1:20" s="21" customFormat="1" ht="12.75" customHeight="1" x14ac:dyDescent="0.25">
      <c r="A19" s="111">
        <v>25</v>
      </c>
      <c r="B19" s="118">
        <f t="shared" si="0"/>
        <v>5</v>
      </c>
      <c r="C19" s="57">
        <f t="shared" si="2"/>
        <v>-5.9108981944161361</v>
      </c>
      <c r="D19" s="57">
        <f t="shared" si="4"/>
        <v>2.7097519099741354E-3</v>
      </c>
      <c r="E19" s="56">
        <f t="shared" si="6"/>
        <v>0.84431989198827895</v>
      </c>
      <c r="F19" s="75"/>
      <c r="G19" s="57">
        <f t="shared" si="3"/>
        <v>-6.6513632110037957</v>
      </c>
      <c r="H19" s="57">
        <f t="shared" si="5"/>
        <v>1.2922592821156113E-3</v>
      </c>
      <c r="I19" s="56">
        <f t="shared" si="7"/>
        <v>0.87527788090177239</v>
      </c>
      <c r="K19" s="173">
        <f t="shared" si="1"/>
        <v>25</v>
      </c>
      <c r="L19" s="53">
        <v>-3.4237000000000002</v>
      </c>
      <c r="M19" s="53">
        <v>1.1444000000000001</v>
      </c>
      <c r="N19" s="53">
        <v>9.0499999999999997E-2</v>
      </c>
      <c r="O19" s="53">
        <v>0.3624</v>
      </c>
      <c r="P19" s="53"/>
      <c r="Q19" s="53">
        <v>-3.0185</v>
      </c>
      <c r="R19" s="53">
        <v>1.3729</v>
      </c>
      <c r="S19" s="53">
        <v>8.1500000000000003E-2</v>
      </c>
      <c r="T19" s="53">
        <v>0.38840000000000002</v>
      </c>
    </row>
    <row r="20" spans="1:20" s="21" customFormat="1" ht="12.75" customHeight="1" x14ac:dyDescent="0.25">
      <c r="A20" s="111">
        <v>30</v>
      </c>
      <c r="B20" s="118">
        <f t="shared" si="0"/>
        <v>5</v>
      </c>
      <c r="C20" s="57">
        <f t="shared" si="2"/>
        <v>-5.8378283810209401</v>
      </c>
      <c r="D20" s="57">
        <f t="shared" si="4"/>
        <v>2.9151663875812339E-3</v>
      </c>
      <c r="E20" s="56">
        <f t="shared" si="6"/>
        <v>0.83295125899100675</v>
      </c>
      <c r="F20" s="75"/>
      <c r="G20" s="57">
        <f t="shared" si="3"/>
        <v>-6.3575926525652315</v>
      </c>
      <c r="H20" s="57">
        <f t="shared" si="5"/>
        <v>1.7335349135165E-3</v>
      </c>
      <c r="I20" s="56">
        <f t="shared" si="7"/>
        <v>0.86963921030779534</v>
      </c>
      <c r="K20" s="173">
        <f t="shared" si="1"/>
        <v>30</v>
      </c>
      <c r="L20" s="53">
        <v>-3.4438</v>
      </c>
      <c r="M20" s="53">
        <v>1.0682</v>
      </c>
      <c r="N20" s="53">
        <v>8.14E-2</v>
      </c>
      <c r="O20" s="53">
        <v>0.38479999999999998</v>
      </c>
      <c r="P20" s="53"/>
      <c r="Q20" s="53">
        <v>-3.0200999999999998</v>
      </c>
      <c r="R20" s="53">
        <v>1.2879</v>
      </c>
      <c r="S20" s="53">
        <v>7.7799999999999994E-2</v>
      </c>
      <c r="T20" s="53">
        <v>0.33910000000000001</v>
      </c>
    </row>
    <row r="21" spans="1:20" s="21" customFormat="1" ht="12.75" customHeight="1" x14ac:dyDescent="0.25">
      <c r="A21" s="111">
        <v>35</v>
      </c>
      <c r="B21" s="118">
        <f t="shared" si="0"/>
        <v>5</v>
      </c>
      <c r="C21" s="57">
        <f t="shared" si="2"/>
        <v>-5.6238818788834513</v>
      </c>
      <c r="D21" s="57">
        <f t="shared" si="4"/>
        <v>3.6105979657100572E-3</v>
      </c>
      <c r="E21" s="56">
        <f t="shared" si="6"/>
        <v>0.82089116295664433</v>
      </c>
      <c r="F21" s="75"/>
      <c r="G21" s="57">
        <f t="shared" si="3"/>
        <v>-6.0116949322363666</v>
      </c>
      <c r="H21" s="57">
        <f t="shared" si="5"/>
        <v>2.4499321903017966E-3</v>
      </c>
      <c r="I21" s="56">
        <f t="shared" si="7"/>
        <v>0.86213139527843641</v>
      </c>
      <c r="K21" s="173">
        <f t="shared" si="1"/>
        <v>35</v>
      </c>
      <c r="L21" s="53">
        <v>-3.4198</v>
      </c>
      <c r="M21" s="53">
        <v>0.96199999999999997</v>
      </c>
      <c r="N21" s="53">
        <v>7.1400000000000005E-2</v>
      </c>
      <c r="O21" s="53">
        <v>0.37790000000000001</v>
      </c>
      <c r="P21" s="53"/>
      <c r="Q21" s="53">
        <v>-3.1486999999999998</v>
      </c>
      <c r="R21" s="53">
        <v>1.1071</v>
      </c>
      <c r="S21" s="53">
        <v>6.3700000000000007E-2</v>
      </c>
      <c r="T21" s="53">
        <v>0.28289999999999998</v>
      </c>
    </row>
    <row r="22" spans="1:20" s="21" customFormat="1" ht="12.75" customHeight="1" x14ac:dyDescent="0.25">
      <c r="A22" s="111">
        <v>40</v>
      </c>
      <c r="B22" s="118">
        <f t="shared" si="0"/>
        <v>5</v>
      </c>
      <c r="C22" s="57">
        <f t="shared" si="2"/>
        <v>-5.3294975417676618</v>
      </c>
      <c r="D22" s="57">
        <f t="shared" si="4"/>
        <v>4.8465045666843841E-3</v>
      </c>
      <c r="E22" s="56">
        <f t="shared" si="6"/>
        <v>0.80619367658455232</v>
      </c>
      <c r="F22" s="75"/>
      <c r="G22" s="57">
        <f t="shared" si="3"/>
        <v>-5.650780263996964</v>
      </c>
      <c r="H22" s="57">
        <f t="shared" si="5"/>
        <v>3.5147732536885577E-3</v>
      </c>
      <c r="I22" s="56">
        <f t="shared" si="7"/>
        <v>0.85162975310640321</v>
      </c>
      <c r="K22" s="173">
        <f t="shared" si="1"/>
        <v>40</v>
      </c>
      <c r="L22" s="53">
        <v>-3.3828999999999998</v>
      </c>
      <c r="M22" s="53">
        <v>0.8337</v>
      </c>
      <c r="N22" s="53">
        <v>6.0900000000000003E-2</v>
      </c>
      <c r="O22" s="53">
        <v>0.35299999999999998</v>
      </c>
      <c r="P22" s="53"/>
      <c r="Q22" s="53">
        <v>-3.2690000000000001</v>
      </c>
      <c r="R22" s="53">
        <v>0.93389999999999995</v>
      </c>
      <c r="S22" s="53">
        <v>5.33E-2</v>
      </c>
      <c r="T22" s="53">
        <v>0.22459999999999999</v>
      </c>
    </row>
    <row r="23" spans="1:20" s="21" customFormat="1" ht="12.75" customHeight="1" x14ac:dyDescent="0.25">
      <c r="A23" s="111">
        <v>45</v>
      </c>
      <c r="B23" s="118">
        <f t="shared" si="0"/>
        <v>5</v>
      </c>
      <c r="C23" s="57">
        <f t="shared" si="2"/>
        <v>-4.9549148517793853</v>
      </c>
      <c r="D23" s="57">
        <f t="shared" si="4"/>
        <v>7.0486804366770824E-3</v>
      </c>
      <c r="E23" s="56">
        <f t="shared" si="6"/>
        <v>0.78687293742486575</v>
      </c>
      <c r="F23" s="75"/>
      <c r="G23" s="57">
        <f t="shared" si="3"/>
        <v>-5.3033764750284433</v>
      </c>
      <c r="H23" s="57">
        <f t="shared" si="5"/>
        <v>4.9747683362760539E-3</v>
      </c>
      <c r="I23" s="56">
        <f t="shared" si="7"/>
        <v>0.83678334376872709</v>
      </c>
      <c r="K23" s="173">
        <f t="shared" si="1"/>
        <v>45</v>
      </c>
      <c r="L23" s="53">
        <v>-3.4456000000000002</v>
      </c>
      <c r="M23" s="53">
        <v>0.60389999999999999</v>
      </c>
      <c r="N23" s="53">
        <v>3.6200000000000003E-2</v>
      </c>
      <c r="O23" s="53">
        <v>0.30599999999999999</v>
      </c>
      <c r="P23" s="53"/>
      <c r="Q23" s="53">
        <v>-3.5202</v>
      </c>
      <c r="R23" s="53">
        <v>0.66420000000000001</v>
      </c>
      <c r="S23" s="53">
        <v>2.8899999999999999E-2</v>
      </c>
      <c r="T23" s="53">
        <v>0.1774</v>
      </c>
    </row>
    <row r="24" spans="1:20" s="21" customFormat="1" ht="12.75" customHeight="1" x14ac:dyDescent="0.25">
      <c r="A24" s="111">
        <v>50</v>
      </c>
      <c r="B24" s="118">
        <f t="shared" si="0"/>
        <v>5</v>
      </c>
      <c r="C24" s="57">
        <f t="shared" si="2"/>
        <v>-4.5355284309150168</v>
      </c>
      <c r="D24" s="57">
        <f t="shared" si="4"/>
        <v>1.0721240294535216E-2</v>
      </c>
      <c r="E24" s="56">
        <f t="shared" si="6"/>
        <v>0.75958327704306983</v>
      </c>
      <c r="F24" s="75"/>
      <c r="G24" s="57">
        <f t="shared" si="3"/>
        <v>-4.9020574481379544</v>
      </c>
      <c r="H24" s="57">
        <f t="shared" si="5"/>
        <v>7.4312778626860702E-3</v>
      </c>
      <c r="I24" s="56">
        <f t="shared" si="7"/>
        <v>0.81620478653060302</v>
      </c>
      <c r="K24" s="173">
        <f t="shared" si="1"/>
        <v>50</v>
      </c>
      <c r="L24" s="53">
        <v>-3.4217</v>
      </c>
      <c r="M24" s="53">
        <v>0.40010000000000001</v>
      </c>
      <c r="N24" s="53">
        <v>1.38E-2</v>
      </c>
      <c r="O24" s="53">
        <v>0.25640000000000002</v>
      </c>
      <c r="P24" s="53"/>
      <c r="Q24" s="53">
        <v>-3.4076</v>
      </c>
      <c r="R24" s="53">
        <v>0.55559999999999998</v>
      </c>
      <c r="S24" s="53">
        <v>2.0799999999999999E-2</v>
      </c>
      <c r="T24" s="53">
        <v>0.1429</v>
      </c>
    </row>
    <row r="25" spans="1:20" s="21" customFormat="1" ht="12.75" customHeight="1" x14ac:dyDescent="0.25">
      <c r="A25" s="111">
        <v>55</v>
      </c>
      <c r="B25" s="118">
        <f t="shared" si="0"/>
        <v>5</v>
      </c>
      <c r="C25" s="57">
        <f t="shared" si="2"/>
        <v>-4.1021400763386975</v>
      </c>
      <c r="D25" s="57">
        <f t="shared" si="4"/>
        <v>1.6537246535026529E-2</v>
      </c>
      <c r="E25" s="56">
        <f>E24*(1-5*D24/(1+2.3*D24))</f>
        <v>0.71984480791449179</v>
      </c>
      <c r="F25" s="75"/>
      <c r="G25" s="57">
        <f t="shared" si="3"/>
        <v>-4.5020872909165677</v>
      </c>
      <c r="H25" s="57">
        <f t="shared" si="5"/>
        <v>1.1085833013593021E-2</v>
      </c>
      <c r="I25" s="56">
        <f>I24*(1-5*H24/(1+2.3*H24))</f>
        <v>0.7863872040265828</v>
      </c>
      <c r="K25" s="173">
        <f t="shared" si="1"/>
        <v>55</v>
      </c>
      <c r="L25" s="53">
        <v>-3.4144000000000001</v>
      </c>
      <c r="M25" s="53">
        <v>0.17599999999999999</v>
      </c>
      <c r="N25" s="53">
        <v>-1.2800000000000001E-2</v>
      </c>
      <c r="O25" s="53">
        <v>0.20169999999999999</v>
      </c>
      <c r="P25" s="53"/>
      <c r="Q25" s="53">
        <v>-3.2587000000000002</v>
      </c>
      <c r="R25" s="53">
        <v>0.4461</v>
      </c>
      <c r="S25" s="53">
        <v>1.01E-2</v>
      </c>
      <c r="T25" s="53">
        <v>0.11899999999999999</v>
      </c>
    </row>
    <row r="26" spans="1:20" s="21" customFormat="1" ht="12.75" customHeight="1" x14ac:dyDescent="0.25">
      <c r="A26" s="111">
        <v>60</v>
      </c>
      <c r="B26" s="118">
        <f t="shared" si="0"/>
        <v>5</v>
      </c>
      <c r="C26" s="57">
        <f t="shared" si="2"/>
        <v>-3.6384998746760813</v>
      </c>
      <c r="D26" s="57">
        <f t="shared" si="4"/>
        <v>2.6291755325281541E-2</v>
      </c>
      <c r="E26" s="56">
        <f>E25*(1-5*D25/(1+2.3*D25))</f>
        <v>0.6625045284157417</v>
      </c>
      <c r="F26" s="75"/>
      <c r="G26" s="57">
        <f t="shared" si="3"/>
        <v>-3.9613036346759554</v>
      </c>
      <c r="H26" s="57">
        <f t="shared" si="5"/>
        <v>1.9038279146284906E-2</v>
      </c>
      <c r="I26" s="56">
        <f>I25*(1-5*H25/(1+2.3*H25))</f>
        <v>0.74388218601077272</v>
      </c>
      <c r="K26" s="173">
        <f t="shared" si="1"/>
        <v>60</v>
      </c>
      <c r="L26" s="53">
        <v>-3.1402000000000001</v>
      </c>
      <c r="M26" s="53">
        <v>9.2100000000000001E-2</v>
      </c>
      <c r="N26" s="53">
        <v>-2.1600000000000001E-2</v>
      </c>
      <c r="O26" s="53">
        <v>0.16159999999999999</v>
      </c>
      <c r="P26" s="53"/>
      <c r="Q26" s="53">
        <v>-2.8906999999999998</v>
      </c>
      <c r="R26" s="53">
        <v>0.39879999999999999</v>
      </c>
      <c r="S26" s="53">
        <v>4.1999999999999997E-3</v>
      </c>
      <c r="T26" s="53">
        <v>8.0699999999999994E-2</v>
      </c>
    </row>
    <row r="27" spans="1:20" s="21" customFormat="1" ht="12.75" customHeight="1" x14ac:dyDescent="0.25">
      <c r="A27" s="111">
        <v>65</v>
      </c>
      <c r="B27" s="118">
        <f t="shared" si="0"/>
        <v>5</v>
      </c>
      <c r="C27" s="57">
        <f t="shared" si="2"/>
        <v>-3.1847447895030987</v>
      </c>
      <c r="D27" s="57">
        <f t="shared" si="4"/>
        <v>4.1388807311288973E-2</v>
      </c>
      <c r="E27" s="56">
        <f>E26*(1-5*D26/(1+2.4*D26))</f>
        <v>0.5805818331063427</v>
      </c>
      <c r="F27" s="75"/>
      <c r="G27" s="57">
        <f t="shared" si="3"/>
        <v>-3.4485511768513306</v>
      </c>
      <c r="H27" s="57">
        <f t="shared" si="5"/>
        <v>3.1791663525468784E-2</v>
      </c>
      <c r="I27" s="56">
        <f>I26*(1-5*H26/(1+2.4*H26))</f>
        <v>0.67616512175797228</v>
      </c>
      <c r="K27" s="173">
        <f t="shared" si="1"/>
        <v>65</v>
      </c>
      <c r="L27" s="53">
        <v>-2.8565</v>
      </c>
      <c r="M27" s="53">
        <v>2.1700000000000001E-2</v>
      </c>
      <c r="N27" s="53">
        <v>-2.8299999999999999E-2</v>
      </c>
      <c r="O27" s="53">
        <v>0.1216</v>
      </c>
      <c r="P27" s="53"/>
      <c r="Q27" s="53">
        <v>-2.6608000000000001</v>
      </c>
      <c r="R27" s="53">
        <v>0.2591</v>
      </c>
      <c r="S27" s="53">
        <v>-1.35E-2</v>
      </c>
      <c r="T27" s="53">
        <v>5.7099999999999998E-2</v>
      </c>
    </row>
    <row r="28" spans="1:20" s="21" customFormat="1" ht="12.75" customHeight="1" x14ac:dyDescent="0.25">
      <c r="A28" s="111">
        <v>70</v>
      </c>
      <c r="B28" s="118">
        <f t="shared" si="0"/>
        <v>5</v>
      </c>
      <c r="C28" s="57">
        <f t="shared" si="2"/>
        <v>-2.7100866327040083</v>
      </c>
      <c r="D28" s="57">
        <f t="shared" si="4"/>
        <v>6.653104270121471E-2</v>
      </c>
      <c r="E28" s="56">
        <f>E27*(1-5*D27/(1+2.4*D27))</f>
        <v>0.47129016892304609</v>
      </c>
      <c r="F28" s="75"/>
      <c r="G28" s="57">
        <f t="shared" si="3"/>
        <v>-2.8743301869167852</v>
      </c>
      <c r="H28" s="57">
        <f t="shared" si="5"/>
        <v>5.6453940430485801E-2</v>
      </c>
      <c r="I28" s="56">
        <f>I27*(1-5*H27/(1+2.4*H27))</f>
        <v>0.57630256397130797</v>
      </c>
      <c r="K28" s="173">
        <f t="shared" si="1"/>
        <v>70</v>
      </c>
      <c r="L28" s="53">
        <v>-2.4114</v>
      </c>
      <c r="M28" s="53">
        <v>3.8800000000000001E-2</v>
      </c>
      <c r="N28" s="53">
        <v>-2.35E-2</v>
      </c>
      <c r="O28" s="53">
        <v>8.6400000000000005E-2</v>
      </c>
      <c r="P28" s="53"/>
      <c r="Q28" s="53">
        <v>-2.2949000000000002</v>
      </c>
      <c r="R28" s="53">
        <v>0.1759</v>
      </c>
      <c r="S28" s="53">
        <v>-2.29E-2</v>
      </c>
      <c r="T28" s="53">
        <v>2.9499999999999998E-2</v>
      </c>
    </row>
    <row r="29" spans="1:20" s="21" customFormat="1" ht="12.75" customHeight="1" x14ac:dyDescent="0.25">
      <c r="A29" s="111">
        <v>75</v>
      </c>
      <c r="B29" s="118">
        <f t="shared" si="0"/>
        <v>5</v>
      </c>
      <c r="C29" s="57">
        <f t="shared" si="2"/>
        <v>-2.2434647377073382</v>
      </c>
      <c r="D29" s="57">
        <f t="shared" si="4"/>
        <v>0.1060902918331573</v>
      </c>
      <c r="E29" s="56">
        <f>E28*(1-5*D28/(1+2.4*D28))</f>
        <v>0.33609953445557922</v>
      </c>
      <c r="F29" s="75"/>
      <c r="G29" s="57">
        <f t="shared" si="3"/>
        <v>-2.3525966577834101</v>
      </c>
      <c r="H29" s="57">
        <f t="shared" si="5"/>
        <v>9.512184237963929E-2</v>
      </c>
      <c r="I29" s="56">
        <f>I28*(1-5*H28/(1+2.4*H28))</f>
        <v>0.43304033280370419</v>
      </c>
      <c r="K29" s="173">
        <f t="shared" si="1"/>
        <v>75</v>
      </c>
      <c r="L29" s="53">
        <v>-2.0411000000000001</v>
      </c>
      <c r="M29" s="53">
        <v>9.2999999999999992E-3</v>
      </c>
      <c r="N29" s="53">
        <v>-2.52E-2</v>
      </c>
      <c r="O29" s="53">
        <v>5.3699999999999998E-2</v>
      </c>
      <c r="P29" s="53"/>
      <c r="Q29" s="53">
        <v>-2.0413999999999999</v>
      </c>
      <c r="R29" s="53">
        <v>4.8099999999999997E-2</v>
      </c>
      <c r="S29" s="53">
        <v>-3.5400000000000001E-2</v>
      </c>
      <c r="T29" s="53">
        <v>1.14E-2</v>
      </c>
    </row>
    <row r="30" spans="1:20" s="21" customFormat="1" ht="12.75" customHeight="1" x14ac:dyDescent="0.25">
      <c r="A30" s="111">
        <v>80</v>
      </c>
      <c r="B30" s="118">
        <f t="shared" si="0"/>
        <v>5</v>
      </c>
      <c r="C30" s="57">
        <f t="shared" si="2"/>
        <v>-1.8043590717492168</v>
      </c>
      <c r="D30" s="57">
        <f t="shared" si="4"/>
        <v>0.16457990669227651</v>
      </c>
      <c r="E30" s="56">
        <f>E29*(1-5*D29/(1+2.5*D29))</f>
        <v>0.1951883244569661</v>
      </c>
      <c r="F30" s="75"/>
      <c r="G30" s="57">
        <f t="shared" si="3"/>
        <v>-1.8967740870848775</v>
      </c>
      <c r="H30" s="57">
        <f t="shared" si="5"/>
        <v>0.15005189364458194</v>
      </c>
      <c r="I30" s="56">
        <f>I29*(1-5*H29/(1+2.5*H29))</f>
        <v>0.26665060504293026</v>
      </c>
      <c r="K30" s="173">
        <f t="shared" si="1"/>
        <v>80</v>
      </c>
      <c r="L30" s="53">
        <v>-1.6456</v>
      </c>
      <c r="M30" s="53">
        <v>8.5000000000000006E-3</v>
      </c>
      <c r="N30" s="53">
        <v>-2.2100000000000002E-2</v>
      </c>
      <c r="O30" s="53">
        <v>3.1600000000000003E-2</v>
      </c>
      <c r="P30" s="53"/>
      <c r="Q30" s="53">
        <v>-1.7307999999999999</v>
      </c>
      <c r="R30" s="53">
        <v>-6.4000000000000003E-3</v>
      </c>
      <c r="S30" s="53">
        <v>-3.4700000000000002E-2</v>
      </c>
      <c r="T30" s="53">
        <v>3.3E-3</v>
      </c>
    </row>
    <row r="31" spans="1:20" ht="12.75" customHeight="1" x14ac:dyDescent="0.25">
      <c r="A31" s="111">
        <v>85</v>
      </c>
      <c r="B31" s="118">
        <f t="shared" si="0"/>
        <v>5</v>
      </c>
      <c r="C31" s="57">
        <f t="shared" si="2"/>
        <v>-1.3888666762550628</v>
      </c>
      <c r="D31" s="57">
        <f t="shared" si="4"/>
        <v>0.2493577476081193</v>
      </c>
      <c r="E31" s="56">
        <f>E30*(1-5*D30/(1+2.6*D30))</f>
        <v>8.270179981953403E-2</v>
      </c>
      <c r="F31" s="75"/>
      <c r="G31" s="57">
        <f t="shared" si="3"/>
        <v>-1.5011986729393243</v>
      </c>
      <c r="H31" s="57">
        <f t="shared" si="5"/>
        <v>0.22286286029806654</v>
      </c>
      <c r="I31" s="56">
        <f>I30*(1-5*H30/(1+2.6*H30))</f>
        <v>0.12273857336718454</v>
      </c>
      <c r="K31" s="173">
        <f t="shared" si="1"/>
        <v>85</v>
      </c>
      <c r="L31" s="53">
        <v>-1.3203</v>
      </c>
      <c r="M31" s="53">
        <v>-1.83E-2</v>
      </c>
      <c r="N31" s="53">
        <v>-2.1899999999999999E-2</v>
      </c>
      <c r="O31" s="53">
        <v>6.1000000000000004E-3</v>
      </c>
      <c r="P31" s="53"/>
      <c r="Q31" s="53">
        <v>-1.4473</v>
      </c>
      <c r="R31" s="53">
        <v>-5.3100000000000001E-2</v>
      </c>
      <c r="S31" s="53">
        <v>-3.27E-2</v>
      </c>
      <c r="T31" s="53">
        <v>4.0000000000000001E-3</v>
      </c>
    </row>
    <row r="32" spans="1:20" ht="12.75" customHeight="1" x14ac:dyDescent="0.25">
      <c r="A32" s="111">
        <v>90</v>
      </c>
      <c r="B32" s="118">
        <f t="shared" si="0"/>
        <v>5</v>
      </c>
      <c r="C32" s="57">
        <f t="shared" si="2"/>
        <v>-1.0537300875242592</v>
      </c>
      <c r="D32" s="57">
        <f t="shared" si="4"/>
        <v>0.34863488209355797</v>
      </c>
      <c r="E32" s="56">
        <f>E31*(1-5*D31/(1+2.8*D31))</f>
        <v>2.1983645411062704E-2</v>
      </c>
      <c r="F32" s="75"/>
      <c r="G32" s="57">
        <f t="shared" si="3"/>
        <v>-1.1491721186837653</v>
      </c>
      <c r="H32" s="57">
        <f t="shared" si="5"/>
        <v>0.31689901558384326</v>
      </c>
      <c r="I32" s="56">
        <f>I31*(1-5*H31/(1+2.8*H31))</f>
        <v>3.8521824946261309E-2</v>
      </c>
      <c r="K32" s="173">
        <f t="shared" si="1"/>
        <v>90</v>
      </c>
      <c r="L32" s="53">
        <v>-1.0367999999999999</v>
      </c>
      <c r="M32" s="53">
        <v>-3.1399999999999997E-2</v>
      </c>
      <c r="N32" s="53">
        <v>-1.84E-2</v>
      </c>
      <c r="O32" s="112">
        <v>0</v>
      </c>
      <c r="P32" s="53"/>
      <c r="Q32" s="53">
        <v>-1.1581999999999999</v>
      </c>
      <c r="R32" s="53">
        <v>-6.1699999999999998E-2</v>
      </c>
      <c r="S32" s="53">
        <v>-2.5899999999999999E-2</v>
      </c>
      <c r="T32" s="112">
        <v>0</v>
      </c>
    </row>
    <row r="33" spans="1:20" ht="12.75" customHeight="1" x14ac:dyDescent="0.25">
      <c r="A33" s="111">
        <v>95</v>
      </c>
      <c r="B33" s="118">
        <f t="shared" si="0"/>
        <v>5</v>
      </c>
      <c r="C33" s="57">
        <f t="shared" si="2"/>
        <v>-0.7554118429390797</v>
      </c>
      <c r="D33" s="57">
        <f t="shared" si="4"/>
        <v>0.46981708403242989</v>
      </c>
      <c r="E33" s="56">
        <f>E32*(1-5*D32/(1+3*D32))</f>
        <v>3.2528955694080966E-3</v>
      </c>
      <c r="F33" s="75"/>
      <c r="G33" s="57">
        <f t="shared" si="3"/>
        <v>-0.83048504961902392</v>
      </c>
      <c r="H33" s="57">
        <f t="shared" si="5"/>
        <v>0.43583783206837795</v>
      </c>
      <c r="I33" s="56">
        <f>I32*(1-5*H32/(1+3*H32))</f>
        <v>7.2316550444500981E-3</v>
      </c>
      <c r="K33" s="173">
        <f t="shared" si="1"/>
        <v>95</v>
      </c>
      <c r="L33" s="53">
        <v>-0.73099999999999998</v>
      </c>
      <c r="M33" s="53">
        <v>-1.7000000000000001E-2</v>
      </c>
      <c r="N33" s="53">
        <v>-1.3299999999999999E-2</v>
      </c>
      <c r="O33" s="112">
        <v>0</v>
      </c>
      <c r="P33" s="53"/>
      <c r="Q33" s="53">
        <v>-0.86550000000000005</v>
      </c>
      <c r="R33" s="53">
        <v>-5.9799999999999999E-2</v>
      </c>
      <c r="S33" s="53">
        <v>-1.9800000000000002E-2</v>
      </c>
      <c r="T33" s="112">
        <v>0</v>
      </c>
    </row>
    <row r="34" spans="1:20" ht="12.75" customHeight="1" x14ac:dyDescent="0.25">
      <c r="A34" s="111">
        <v>100</v>
      </c>
      <c r="B34" s="118">
        <f t="shared" si="0"/>
        <v>5</v>
      </c>
      <c r="C34" s="57">
        <f t="shared" si="2"/>
        <v>-0.5243665381470175</v>
      </c>
      <c r="D34" s="57">
        <f t="shared" si="4"/>
        <v>0.5919302108370037</v>
      </c>
      <c r="E34" s="56">
        <f>E33*(1-5*D33/(1+3.3*D33))</f>
        <v>2.567614690785052E-4</v>
      </c>
      <c r="F34" s="75"/>
      <c r="G34" s="57">
        <f t="shared" si="3"/>
        <v>-0.58160107857048204</v>
      </c>
      <c r="H34" s="57">
        <f t="shared" si="5"/>
        <v>0.55900264254266074</v>
      </c>
      <c r="I34" s="56">
        <f>I33*(1-5*H33/(1+3.3*H33))</f>
        <v>7.6839314278369971E-4</v>
      </c>
      <c r="K34" s="173">
        <f t="shared" si="1"/>
        <v>100</v>
      </c>
      <c r="L34" s="53">
        <v>-0.50239999999999996</v>
      </c>
      <c r="M34" s="53">
        <v>-8.0999999999999996E-3</v>
      </c>
      <c r="N34" s="53">
        <v>-8.6E-3</v>
      </c>
      <c r="O34" s="112">
        <v>0</v>
      </c>
      <c r="P34" s="53"/>
      <c r="Q34" s="53">
        <v>-0.62939999999999996</v>
      </c>
      <c r="R34" s="53">
        <v>-5.1299999999999998E-2</v>
      </c>
      <c r="S34" s="53">
        <v>-1.34E-2</v>
      </c>
      <c r="T34" s="112">
        <v>0</v>
      </c>
    </row>
    <row r="35" spans="1:20" ht="12.75" customHeight="1" x14ac:dyDescent="0.25">
      <c r="A35" s="111">
        <v>105</v>
      </c>
      <c r="B35" s="118">
        <f t="shared" si="0"/>
        <v>5</v>
      </c>
      <c r="C35" s="57">
        <f t="shared" si="2"/>
        <v>-0.34920823365004661</v>
      </c>
      <c r="D35" s="57">
        <f t="shared" si="4"/>
        <v>0.705246258976024</v>
      </c>
      <c r="E35" s="56">
        <f>E34*(1-5*D34/(1+3.4*D34))</f>
        <v>4.5096741588822821E-6</v>
      </c>
      <c r="F35" s="75"/>
      <c r="G35" s="57">
        <f t="shared" si="3"/>
        <v>-0.38945673798320846</v>
      </c>
      <c r="H35" s="57">
        <f t="shared" si="5"/>
        <v>0.67742479371050501</v>
      </c>
      <c r="I35" s="56">
        <f>I34*(1-5*H34/(1+3.4*H34))</f>
        <v>2.7973114435219758E-5</v>
      </c>
      <c r="K35" s="173">
        <f t="shared" si="1"/>
        <v>105</v>
      </c>
      <c r="L35" s="53">
        <v>-0.32750000000000001</v>
      </c>
      <c r="M35" s="53">
        <v>-1E-4</v>
      </c>
      <c r="N35" s="53">
        <v>-4.7999999999999996E-3</v>
      </c>
      <c r="O35" s="112">
        <v>0</v>
      </c>
      <c r="P35" s="53"/>
      <c r="Q35" s="53">
        <v>-0.42820000000000003</v>
      </c>
      <c r="R35" s="53">
        <v>-3.4099999999999998E-2</v>
      </c>
      <c r="S35" s="53">
        <v>-7.4999999999999997E-3</v>
      </c>
      <c r="T35" s="112">
        <v>0</v>
      </c>
    </row>
    <row r="36" spans="1:20" ht="12.75" customHeight="1" x14ac:dyDescent="0.25">
      <c r="A36" s="114">
        <v>110</v>
      </c>
      <c r="B36" s="114"/>
      <c r="C36" s="59">
        <f t="shared" si="2"/>
        <v>-0.22754729381982164</v>
      </c>
      <c r="D36" s="59">
        <f t="shared" si="4"/>
        <v>0.79648475180038469</v>
      </c>
      <c r="E36" s="60">
        <f>E35*(1-5*D35/(1+3.5*D35))</f>
        <v>-7.5243614359797505E-8</v>
      </c>
      <c r="F36" s="62"/>
      <c r="G36" s="59">
        <f t="shared" si="3"/>
        <v>-0.26594215913530833</v>
      </c>
      <c r="H36" s="59">
        <f t="shared" si="5"/>
        <v>0.76648346028499825</v>
      </c>
      <c r="I36" s="60">
        <f>I35*(1-5*H35/(1+3.5*H35))</f>
        <v>-1.3390959623652808E-7</v>
      </c>
      <c r="K36" s="83">
        <v>110</v>
      </c>
      <c r="L36" s="59">
        <v>-0.22120000000000001</v>
      </c>
      <c r="M36" s="59">
        <v>-2.8E-3</v>
      </c>
      <c r="N36" s="59">
        <v>-2.7000000000000001E-3</v>
      </c>
      <c r="O36" s="113">
        <v>0</v>
      </c>
      <c r="P36" s="59"/>
      <c r="Q36" s="59">
        <v>-0.29659999999999997</v>
      </c>
      <c r="R36" s="59">
        <v>-2.29E-2</v>
      </c>
      <c r="S36" s="59">
        <v>-4.1000000000000003E-3</v>
      </c>
      <c r="T36" s="113">
        <v>0</v>
      </c>
    </row>
  </sheetData>
  <mergeCells count="6">
    <mergeCell ref="L11:O11"/>
    <mergeCell ref="Q11:T11"/>
    <mergeCell ref="K6:T6"/>
    <mergeCell ref="A1:I1"/>
    <mergeCell ref="G6:I6"/>
    <mergeCell ref="C2:J2"/>
  </mergeCells>
  <phoneticPr fontId="35" type="noConversion"/>
  <conditionalFormatting sqref="H9:H11 G13:I36">
    <cfRule type="expression" dxfId="1" priority="9">
      <formula>ABS($I$10)&gt;0.0001</formula>
    </cfRule>
  </conditionalFormatting>
  <conditionalFormatting sqref="C13:E36 D9:D11">
    <cfRule type="expression" dxfId="0" priority="2">
      <formula>ABS($E$10)&gt;0.0001</formula>
    </cfRule>
  </conditionalFormatting>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zoomScaleNormal="100" workbookViewId="0">
      <selection activeCell="N10" sqref="N10"/>
    </sheetView>
  </sheetViews>
  <sheetFormatPr defaultRowHeight="13.2" x14ac:dyDescent="0.25"/>
  <cols>
    <col min="1" max="1" width="5.109375" customWidth="1"/>
    <col min="2" max="5" width="9.6640625" customWidth="1"/>
    <col min="6" max="6" width="3.44140625" customWidth="1"/>
    <col min="7" max="10" width="9.6640625" customWidth="1"/>
  </cols>
  <sheetData>
    <row r="1" spans="1:10" s="38" customFormat="1" ht="13.8" x14ac:dyDescent="0.25">
      <c r="A1" s="205" t="s">
        <v>90</v>
      </c>
      <c r="B1" s="206"/>
      <c r="C1" s="206"/>
      <c r="D1" s="206"/>
      <c r="E1" s="206"/>
      <c r="F1" s="206"/>
      <c r="G1" s="206"/>
      <c r="H1" s="206"/>
      <c r="I1" s="206"/>
      <c r="J1" s="225"/>
    </row>
    <row r="2" spans="1:10" s="38" customFormat="1" ht="13.8" x14ac:dyDescent="0.25"/>
    <row r="3" spans="1:10" s="2" customFormat="1" ht="13.8" x14ac:dyDescent="0.25">
      <c r="A3" s="115"/>
      <c r="B3" s="211" t="s">
        <v>64</v>
      </c>
      <c r="C3" s="211"/>
      <c r="D3" s="211"/>
      <c r="E3" s="211"/>
      <c r="F3" s="115"/>
      <c r="G3" s="211" t="s">
        <v>65</v>
      </c>
      <c r="H3" s="211"/>
      <c r="I3" s="211"/>
      <c r="J3" s="211"/>
    </row>
    <row r="4" spans="1:10" s="2" customFormat="1" ht="34.5" customHeight="1" x14ac:dyDescent="0.25">
      <c r="A4" s="1"/>
      <c r="B4" s="130" t="s">
        <v>91</v>
      </c>
      <c r="C4" s="174" t="s">
        <v>128</v>
      </c>
      <c r="D4" s="174" t="s">
        <v>129</v>
      </c>
      <c r="E4" s="174" t="s">
        <v>130</v>
      </c>
      <c r="F4" s="177"/>
      <c r="G4" s="190" t="s">
        <v>91</v>
      </c>
      <c r="H4" s="174" t="s">
        <v>131</v>
      </c>
      <c r="I4" s="174" t="s">
        <v>132</v>
      </c>
      <c r="J4" s="174" t="s">
        <v>130</v>
      </c>
    </row>
    <row r="6" spans="1:10" ht="16.2" x14ac:dyDescent="0.35">
      <c r="A6" s="2" t="s">
        <v>26</v>
      </c>
      <c r="B6" s="175">
        <f ca="1">Splicing!E9</f>
        <v>59.697358006135069</v>
      </c>
      <c r="C6" s="175">
        <f ca="1">IF(ABS('Brass logit'!$E$11)&lt;0.0001,'Brass logit'!D12,NA())</f>
        <v>60.880687073889099</v>
      </c>
      <c r="D6" s="175">
        <f>IF(ABS('Modified logit'!$E$11)&lt;0.0001,'Modified logit'!D12,NA())</f>
        <v>60.313517043613274</v>
      </c>
      <c r="E6" s="175">
        <f>IF(ABS('Log quadratic'!$E$10)&lt;0.0001,'Log quadratic'!D11,NA())</f>
        <v>59.347828334830112</v>
      </c>
      <c r="F6" s="175"/>
      <c r="G6" s="175">
        <f ca="1">Splicing!J9</f>
        <v>64.264929319436163</v>
      </c>
      <c r="H6" s="175">
        <f ca="1">IF(ABS('Brass logit'!$I$11)&lt;0.0001,'Brass logit'!H12,NA())</f>
        <v>66.630155543895171</v>
      </c>
      <c r="I6" s="175">
        <f>IF(ABS('Modified logit'!$I$11)&lt;0.0001,'Modified logit'!H12,NA())</f>
        <v>64.442532836725221</v>
      </c>
      <c r="J6" s="175">
        <f>IF(ABS('Log quadratic'!$I$10)&lt;0.0001,'Log quadratic'!H11,NA())</f>
        <v>63.853027288379884</v>
      </c>
    </row>
    <row r="7" spans="1:10" ht="16.2" x14ac:dyDescent="0.35">
      <c r="A7" s="2" t="s">
        <v>27</v>
      </c>
      <c r="B7" s="134">
        <f ca="1">1-Splicing!E13</f>
        <v>8.9112753784230891E-2</v>
      </c>
      <c r="C7" s="134">
        <f ca="1">IF(ABS('Brass logit'!$E$11)&lt;0.0001,1-'Brass logit'!D16,NA())</f>
        <v>9.444923878943301E-2</v>
      </c>
      <c r="D7" s="134">
        <f>IF(ABS('Modified logit'!$E$11)&lt;0.0001,1-'Modified logit'!D16,NA())</f>
        <v>9.2321521757124714E-2</v>
      </c>
      <c r="E7" s="134">
        <f>IF(ABS('Log quadratic'!$E$10)&lt;0.0001,1-'Log quadratic'!E14,NA())</f>
        <v>8.7986401883038856E-2</v>
      </c>
      <c r="F7" s="134"/>
      <c r="G7" s="134">
        <f ca="1">1-Splicing!J13</f>
        <v>7.5264261666088905E-2</v>
      </c>
      <c r="H7" s="134">
        <f ca="1">IF(ABS('Brass logit'!$I$11)&lt;0.0001,1-'Brass logit'!H16,NA())</f>
        <v>8.4169752478146953E-2</v>
      </c>
      <c r="I7" s="134">
        <f>IF(ABS('Modified logit'!$I$11)&lt;0.0001,1-'Modified logit'!H16,NA())</f>
        <v>8.228496230800042E-2</v>
      </c>
      <c r="J7" s="134">
        <f>IF(ABS('Log quadratic'!$I$10)&lt;0.0001,1-'Log quadratic'!I14,NA())</f>
        <v>7.6832395129948439E-2</v>
      </c>
    </row>
    <row r="8" spans="1:10" ht="13.8" x14ac:dyDescent="0.25">
      <c r="A8" s="2" t="s">
        <v>28</v>
      </c>
      <c r="B8" s="134">
        <f ca="1">Splicing!E16</f>
        <v>0.86400571995955366</v>
      </c>
      <c r="C8" s="134">
        <f ca="1">IF(ABS('Brass logit'!$E$11)&lt;0.0001,'Brass logit'!D19,NA())</f>
        <v>0.86786584297976621</v>
      </c>
      <c r="D8" s="134">
        <f>IF(ABS('Modified logit'!$E$11)&lt;0.0001,'Modified logit'!D19,NA())</f>
        <v>0.86926978737672433</v>
      </c>
      <c r="E8" s="134">
        <f>IF(ABS('Log quadratic'!$E$10)&lt;0.0001,'Log quadratic'!E17,NA())</f>
        <v>0.86624470945542154</v>
      </c>
      <c r="F8" s="134"/>
      <c r="G8" s="134">
        <f ca="1">Splicing!J16</f>
        <v>0.87370228317991505</v>
      </c>
      <c r="H8" s="134">
        <f ca="1">IF(ABS('Brass logit'!$I$11)&lt;0.0001,'Brass logit'!H19,NA())</f>
        <v>0.87956535693250626</v>
      </c>
      <c r="I8" s="134">
        <f>IF(ABS('Modified logit'!$I$11)&lt;0.0001,'Modified logit'!H19,NA())</f>
        <v>0.88122380841249792</v>
      </c>
      <c r="J8" s="134">
        <f>IF(ABS('Log quadratic'!$I$10)&lt;0.0001,'Log quadratic'!I17,NA())</f>
        <v>0.88357546674136378</v>
      </c>
    </row>
    <row r="9" spans="1:10" ht="16.2" x14ac:dyDescent="0.35">
      <c r="A9" s="1" t="s">
        <v>29</v>
      </c>
      <c r="B9" s="176">
        <f ca="1">1-Splicing!E29/Splicing!E25</f>
        <v>0.67056254255767422</v>
      </c>
      <c r="C9" s="176">
        <f ca="1">IF(ABS('Brass logit'!$E$11)&lt;0.0001,1-'Brass logit'!D32/'Brass logit'!D28,NA())</f>
        <v>0.57929927192768504</v>
      </c>
      <c r="D9" s="176">
        <f>IF(ABS('Modified logit'!$E$11)&lt;0.0001,1-'Modified logit'!D32/'Modified logit'!D28,NA())</f>
        <v>0.67713284567636833</v>
      </c>
      <c r="E9" s="176">
        <f>IF(ABS('Log quadratic'!$E$10)&lt;0.0001,1-'Log quadratic'!E30/'Log quadratic'!E26,NA())</f>
        <v>0.70537812786921883</v>
      </c>
      <c r="F9" s="176"/>
      <c r="G9" s="176">
        <f ca="1">1-Splicing!J29/Splicing!J25</f>
        <v>0.53459308582033105</v>
      </c>
      <c r="H9" s="176">
        <f ca="1">IF(ABS('Brass logit'!$I$11)&lt;0.0001,1-'Brass logit'!H32/'Brass logit'!H28,NA())</f>
        <v>0.40496921648821571</v>
      </c>
      <c r="I9" s="176">
        <f>IF(ABS('Modified logit'!$I$11)&lt;0.0001,1-'Modified logit'!H32/'Modified logit'!H28,NA())</f>
        <v>0.58403746513513333</v>
      </c>
      <c r="J9" s="176">
        <f>IF(ABS('Log quadratic'!$I$10)&lt;0.0001,1-'Log quadratic'!I30/'Log quadratic'!I26,NA())</f>
        <v>0.64154188652789079</v>
      </c>
    </row>
    <row r="10" spans="1:10" x14ac:dyDescent="0.25">
      <c r="A10" s="178" t="s">
        <v>92</v>
      </c>
      <c r="B10" t="s">
        <v>93</v>
      </c>
    </row>
    <row r="11" spans="1:10" ht="15.6" x14ac:dyDescent="0.35">
      <c r="B11" t="s">
        <v>94</v>
      </c>
    </row>
    <row r="20" spans="2:11" x14ac:dyDescent="0.25">
      <c r="B20" t="s">
        <v>25</v>
      </c>
    </row>
    <row r="21" spans="2:11" x14ac:dyDescent="0.25">
      <c r="B21" s="99">
        <v>0</v>
      </c>
      <c r="C21" s="134">
        <f ca="1">Splicing!F12</f>
        <v>9.1476227923835723E-2</v>
      </c>
      <c r="D21" s="134">
        <f ca="1">IF(ABS('Brass logit'!$E$11)&lt;0.0001,'Brass logit'!E15,NA())</f>
        <v>9.7248246596197435E-2</v>
      </c>
      <c r="E21" s="134">
        <f>IF(ABS('Modified logit'!$E$11)&lt;0.0001,'Modified logit'!E15,NA())</f>
        <v>9.494083763992707E-2</v>
      </c>
      <c r="F21" s="134">
        <f>IF(ABS('Log quadratic'!$E$10)&lt;0.0001,'Log quadratic'!D13,NA())</f>
        <v>9.378993594570556E-2</v>
      </c>
      <c r="G21" s="134"/>
      <c r="H21" s="134">
        <f ca="1">Splicing!K12</f>
        <v>7.6817734171350877E-2</v>
      </c>
      <c r="I21" s="134">
        <f ca="1">IF(ABS('Brass logit'!$I$11)&lt;0.0001,'Brass logit'!I15,NA())</f>
        <v>8.6309244277688837E-2</v>
      </c>
      <c r="J21" s="134">
        <f>IF(ABS('Modified logit'!$I$11)&lt;0.0001,'Modified logit'!I15,NA())</f>
        <v>8.4289707302677305E-2</v>
      </c>
      <c r="K21" s="134">
        <f>IF(ABS('Log quadratic'!$I$10)&lt;0.0001,'Log quadratic'!H13,NA())</f>
        <v>8.1326873597937249E-2</v>
      </c>
    </row>
    <row r="22" spans="2:11" x14ac:dyDescent="0.25">
      <c r="B22" s="99">
        <v>1</v>
      </c>
      <c r="C22" s="134">
        <f ca="1">Splicing!F13</f>
        <v>8.095198140918955E-3</v>
      </c>
      <c r="D22" s="134">
        <f ca="1">IF(ABS('Brass logit'!$E$11)&lt;0.0001,'Brass logit'!E16,NA())</f>
        <v>6.6135783683970795E-3</v>
      </c>
      <c r="E22" s="134">
        <f>IF(ABS('Modified logit'!$E$11)&lt;0.0001,'Modified logit'!E16,NA())</f>
        <v>7.205061570125122E-3</v>
      </c>
      <c r="F22" s="134">
        <f>IF(ABS('Log quadratic'!$E$10)&lt;0.0001,'Log quadratic'!D14,NA())</f>
        <v>8.4071255090909704E-3</v>
      </c>
      <c r="G22" s="134"/>
      <c r="H22" s="134">
        <f ca="1">Splicing!K13</f>
        <v>9.0584609760103411E-3</v>
      </c>
      <c r="I22" s="134">
        <f ca="1">IF(ABS('Brass logit'!$I$11)&lt;0.0001,'Brass logit'!I16,NA())</f>
        <v>6.6170091284510736E-3</v>
      </c>
      <c r="J22" s="134">
        <f>IF(ABS('Modified logit'!$I$11)&lt;0.0001,'Modified logit'!I16,NA())</f>
        <v>7.1351360100862602E-3</v>
      </c>
      <c r="K22" s="134">
        <f>IF(ABS('Log quadratic'!$I$10)&lt;0.0001,'Log quadratic'!H14,NA())</f>
        <v>8.6297779033410477E-3</v>
      </c>
    </row>
    <row r="23" spans="2:11" x14ac:dyDescent="0.25">
      <c r="B23" s="99">
        <v>5</v>
      </c>
      <c r="C23" s="134">
        <f ca="1">Splicing!F14</f>
        <v>2.3397966408769781E-3</v>
      </c>
      <c r="D23" s="134">
        <f ca="1">IF(ABS('Brass logit'!$E$11)&lt;0.0001,'Brass logit'!E17,NA())</f>
        <v>1.8453209264539432E-3</v>
      </c>
      <c r="E23" s="134">
        <f>IF(ABS('Modified logit'!$E$11)&lt;0.0001,'Modified logit'!E17,NA())</f>
        <v>1.9053330421858082E-3</v>
      </c>
      <c r="F23" s="134">
        <f>IF(ABS('Log quadratic'!$E$10)&lt;0.0001,'Log quadratic'!D15,NA())</f>
        <v>2.1344263799524341E-3</v>
      </c>
      <c r="G23" s="134"/>
      <c r="H23" s="134">
        <f ca="1">Splicing!K14</f>
        <v>2.3209384403589488E-3</v>
      </c>
      <c r="I23" s="134">
        <f ca="1">IF(ABS('Brass logit'!$I$11)&lt;0.0001,'Brass logit'!I17,NA())</f>
        <v>1.5885756365736257E-3</v>
      </c>
      <c r="J23" s="134">
        <f>IF(ABS('Modified logit'!$I$11)&lt;0.0001,'Modified logit'!I17,NA())</f>
        <v>1.6230418804483895E-3</v>
      </c>
      <c r="K23" s="134">
        <f>IF(ABS('Log quadratic'!$I$10)&lt;0.0001,'Log quadratic'!H15,NA())</f>
        <v>1.2051799690089306E-3</v>
      </c>
    </row>
    <row r="24" spans="2:11" x14ac:dyDescent="0.25">
      <c r="B24" s="99">
        <v>10</v>
      </c>
      <c r="C24" s="134">
        <f ca="1">Splicing!F15</f>
        <v>1.780968195441848E-3</v>
      </c>
      <c r="D24" s="134">
        <f ca="1">IF(ABS('Brass logit'!$E$11)&lt;0.0001,'Brass logit'!E18,NA())</f>
        <v>1.3845780367812493E-3</v>
      </c>
      <c r="E24" s="134">
        <f>IF(ABS('Modified logit'!$E$11)&lt;0.0001,'Modified logit'!E18,NA())</f>
        <v>1.0014278186149628E-3</v>
      </c>
      <c r="F24" s="134">
        <f>IF(ABS('Log quadratic'!$E$10)&lt;0.0001,'Log quadratic'!D16,NA())</f>
        <v>1.4691259726321703E-3</v>
      </c>
      <c r="G24" s="134"/>
      <c r="H24" s="134">
        <f ca="1">Splicing!K15</f>
        <v>1.8225708126943805E-3</v>
      </c>
      <c r="I24" s="134">
        <f ca="1">IF(ABS('Brass logit'!$I$11)&lt;0.0001,'Brass logit'!I18,NA())</f>
        <v>1.2182623938639093E-3</v>
      </c>
      <c r="J24" s="134">
        <f>IF(ABS('Modified logit'!$I$11)&lt;0.0001,'Modified logit'!I18,NA())</f>
        <v>8.0719071985812325E-4</v>
      </c>
      <c r="K24" s="134">
        <f>IF(ABS('Log quadratic'!$I$10)&lt;0.0001,'Log quadratic'!H16,NA())</f>
        <v>6.9231456255116502E-4</v>
      </c>
    </row>
    <row r="25" spans="2:11" x14ac:dyDescent="0.25">
      <c r="B25" s="99">
        <v>15</v>
      </c>
      <c r="C25" s="134">
        <f ca="1">Splicing!F16</f>
        <v>1.824591305148268E-3</v>
      </c>
      <c r="D25" s="134">
        <f ca="1">IF(ABS('Brass logit'!$E$11)&lt;0.0001,'Brass logit'!E19,NA())</f>
        <v>2.1782456686383518E-3</v>
      </c>
      <c r="E25" s="134">
        <f>IF(ABS('Modified logit'!$E$11)&lt;0.0001,'Modified logit'!E19,NA())</f>
        <v>8.7800750513953533E-4</v>
      </c>
      <c r="F25" s="134">
        <f>IF(ABS('Log quadratic'!$E$10)&lt;0.0001,'Log quadratic'!D17,NA())</f>
        <v>2.2563729293910554E-3</v>
      </c>
      <c r="G25" s="134"/>
      <c r="H25" s="134">
        <f ca="1">Splicing!K16</f>
        <v>1.3904958088144423E-3</v>
      </c>
      <c r="I25" s="134">
        <f ca="1">IF(ABS('Brass logit'!$I$11)&lt;0.0001,'Brass logit'!I19,NA())</f>
        <v>1.7485319110044158E-3</v>
      </c>
      <c r="J25" s="134">
        <f>IF(ABS('Modified logit'!$I$11)&lt;0.0001,'Modified logit'!I19,NA())</f>
        <v>9.1541792967604293E-4</v>
      </c>
      <c r="K25" s="134">
        <f>IF(ABS('Log quadratic'!$I$10)&lt;0.0001,'Log quadratic'!H17,NA())</f>
        <v>8.5054249193373304E-4</v>
      </c>
    </row>
    <row r="26" spans="2:11" x14ac:dyDescent="0.25">
      <c r="B26" s="99">
        <v>20</v>
      </c>
      <c r="C26" s="134">
        <f ca="1">Splicing!F17</f>
        <v>2.6093117209247483E-3</v>
      </c>
      <c r="D26" s="134">
        <f ca="1">IF(ABS('Brass logit'!$E$11)&lt;0.0001,'Brass logit'!E20,NA())</f>
        <v>3.0365624123393038E-3</v>
      </c>
      <c r="E26" s="134">
        <f>IF(ABS('Modified logit'!$E$11)&lt;0.0001,'Modified logit'!E20,NA())</f>
        <v>1.7365300326189761E-3</v>
      </c>
      <c r="F26" s="134">
        <f>IF(ABS('Log quadratic'!$E$10)&lt;0.0001,'Log quadratic'!D18,NA())</f>
        <v>2.8680893013274468E-3</v>
      </c>
      <c r="G26" s="134"/>
      <c r="H26" s="134">
        <f ca="1">Splicing!K17</f>
        <v>1.8484001784005804E-3</v>
      </c>
      <c r="I26" s="134">
        <f ca="1">IF(ABS('Brass logit'!$I$11)&lt;0.0001,'Brass logit'!I20,NA())</f>
        <v>2.241931871301288E-3</v>
      </c>
      <c r="J26" s="134">
        <f>IF(ABS('Modified logit'!$I$11)&lt;0.0001,'Modified logit'!I20,NA())</f>
        <v>1.5379193339990921E-3</v>
      </c>
      <c r="K26" s="134">
        <f>IF(ABS('Log quadratic'!$I$10)&lt;0.0001,'Log quadratic'!H18,NA())</f>
        <v>1.0361528160210715E-3</v>
      </c>
    </row>
    <row r="27" spans="2:11" x14ac:dyDescent="0.25">
      <c r="B27" s="99">
        <v>25</v>
      </c>
      <c r="C27" s="134">
        <f ca="1">Splicing!F18</f>
        <v>2.7462509149051087E-3</v>
      </c>
      <c r="D27" s="134">
        <f ca="1">IF(ABS('Brass logit'!$E$11)&lt;0.0001,'Brass logit'!E21,NA())</f>
        <v>3.1090131165615463E-3</v>
      </c>
      <c r="E27" s="134">
        <f>IF(ABS('Modified logit'!$E$11)&lt;0.0001,'Modified logit'!E21,NA())</f>
        <v>2.2361551035264232E-3</v>
      </c>
      <c r="F27" s="134">
        <f>IF(ABS('Log quadratic'!$E$10)&lt;0.0001,'Log quadratic'!D19,NA())</f>
        <v>2.7097519099741354E-3</v>
      </c>
      <c r="G27" s="134"/>
      <c r="H27" s="134">
        <f ca="1">Splicing!K18</f>
        <v>2.1378388611891161E-3</v>
      </c>
      <c r="I27" s="134">
        <f ca="1">IF(ABS('Brass logit'!$I$11)&lt;0.0001,'Brass logit'!I21,NA())</f>
        <v>2.492112848505687E-3</v>
      </c>
      <c r="J27" s="134">
        <f>IF(ABS('Modified logit'!$I$11)&lt;0.0001,'Modified logit'!I21,NA())</f>
        <v>1.8946043810829682E-3</v>
      </c>
      <c r="K27" s="134">
        <f>IF(ABS('Log quadratic'!$I$10)&lt;0.0001,'Log quadratic'!H19,NA())</f>
        <v>1.2922592821156113E-3</v>
      </c>
    </row>
    <row r="28" spans="2:11" x14ac:dyDescent="0.25">
      <c r="B28" s="99">
        <v>30</v>
      </c>
      <c r="C28" s="134">
        <f ca="1">Splicing!F19</f>
        <v>3.111115010125144E-3</v>
      </c>
      <c r="D28" s="134">
        <f ca="1">IF(ABS('Brass logit'!$E$11)&lt;0.0001,'Brass logit'!E22,NA())</f>
        <v>3.4290257229973994E-3</v>
      </c>
      <c r="E28" s="134">
        <f>IF(ABS('Modified logit'!$E$11)&lt;0.0001,'Modified logit'!E22,NA())</f>
        <v>2.7557749832697901E-3</v>
      </c>
      <c r="F28" s="134">
        <f>IF(ABS('Log quadratic'!$E$10)&lt;0.0001,'Log quadratic'!D20,NA())</f>
        <v>2.9151663875812339E-3</v>
      </c>
      <c r="G28" s="134"/>
      <c r="H28" s="134">
        <f ca="1">Splicing!K19</f>
        <v>2.4844867744238945E-3</v>
      </c>
      <c r="I28" s="134">
        <f ca="1">IF(ABS('Brass logit'!$I$11)&lt;0.0001,'Brass logit'!I22,NA())</f>
        <v>2.7806749121978241E-3</v>
      </c>
      <c r="J28" s="134">
        <f>IF(ABS('Modified logit'!$I$11)&lt;0.0001,'Modified logit'!I22,NA())</f>
        <v>2.1229378296119127E-3</v>
      </c>
      <c r="K28" s="134">
        <f>IF(ABS('Log quadratic'!$I$10)&lt;0.0001,'Log quadratic'!H20,NA())</f>
        <v>1.7335349135165E-3</v>
      </c>
    </row>
    <row r="29" spans="2:11" x14ac:dyDescent="0.25">
      <c r="B29" s="99">
        <v>35</v>
      </c>
      <c r="C29" s="134">
        <f ca="1">Splicing!F20</f>
        <v>3.8888538202553713E-3</v>
      </c>
      <c r="D29" s="134">
        <f ca="1">IF(ABS('Brass logit'!$E$11)&lt;0.0001,'Brass logit'!E23,NA())</f>
        <v>4.1666666604990117E-3</v>
      </c>
      <c r="E29" s="134">
        <f>IF(ABS('Modified logit'!$E$11)&lt;0.0001,'Modified logit'!E23,NA())</f>
        <v>3.6500634456965142E-3</v>
      </c>
      <c r="F29" s="134">
        <f>IF(ABS('Log quadratic'!$E$10)&lt;0.0001,'Log quadratic'!D21,NA())</f>
        <v>3.6105979657100572E-3</v>
      </c>
      <c r="G29" s="134"/>
      <c r="H29" s="134">
        <f ca="1">Splicing!K20</f>
        <v>2.9219346368819002E-3</v>
      </c>
      <c r="I29" s="134">
        <f ca="1">IF(ABS('Brass logit'!$I$11)&lt;0.0001,'Brass logit'!I23,NA())</f>
        <v>3.1360770577368671E-3</v>
      </c>
      <c r="J29" s="134">
        <f>IF(ABS('Modified logit'!$I$11)&lt;0.0001,'Modified logit'!I23,NA())</f>
        <v>2.4890248303994361E-3</v>
      </c>
      <c r="K29" s="134">
        <f>IF(ABS('Log quadratic'!$I$10)&lt;0.0001,'Log quadratic'!H21,NA())</f>
        <v>2.4499321903017966E-3</v>
      </c>
    </row>
    <row r="30" spans="2:11" x14ac:dyDescent="0.25">
      <c r="B30" s="99">
        <v>40</v>
      </c>
      <c r="C30" s="134">
        <f ca="1">Splicing!F21</f>
        <v>5.2154750027624628E-3</v>
      </c>
      <c r="D30" s="134">
        <f ca="1">IF(ABS('Brass logit'!$E$11)&lt;0.0001,'Brass logit'!E24,NA())</f>
        <v>5.4117919774420145E-3</v>
      </c>
      <c r="E30" s="134">
        <f>IF(ABS('Modified logit'!$E$11)&lt;0.0001,'Modified logit'!E24,NA())</f>
        <v>5.1086168349541066E-3</v>
      </c>
      <c r="F30" s="134">
        <f>IF(ABS('Log quadratic'!$E$10)&lt;0.0001,'Log quadratic'!D22,NA())</f>
        <v>4.8465045666843841E-3</v>
      </c>
      <c r="G30" s="134"/>
      <c r="H30" s="134">
        <f ca="1">Splicing!K21</f>
        <v>3.5281198223472408E-3</v>
      </c>
      <c r="I30" s="134">
        <f ca="1">IF(ABS('Brass logit'!$I$11)&lt;0.0001,'Brass logit'!I24,NA())</f>
        <v>3.6248748304145112E-3</v>
      </c>
      <c r="J30" s="134">
        <f>IF(ABS('Modified logit'!$I$11)&lt;0.0001,'Modified logit'!I24,NA())</f>
        <v>3.0985562713164122E-3</v>
      </c>
      <c r="K30" s="134">
        <f>IF(ABS('Log quadratic'!$I$10)&lt;0.0001,'Log quadratic'!H22,NA())</f>
        <v>3.5147732536885577E-3</v>
      </c>
    </row>
    <row r="31" spans="2:11" x14ac:dyDescent="0.25">
      <c r="B31" s="99">
        <v>45</v>
      </c>
      <c r="C31" s="134">
        <f ca="1">Splicing!F22</f>
        <v>7.3082071831008164E-3</v>
      </c>
      <c r="D31" s="134">
        <f ca="1">IF(ABS('Brass logit'!$E$11)&lt;0.0001,'Brass logit'!E25,NA())</f>
        <v>7.3049197121493794E-3</v>
      </c>
      <c r="E31" s="134">
        <f>IF(ABS('Modified logit'!$E$11)&lt;0.0001,'Modified logit'!E25,NA())</f>
        <v>7.5780402251796131E-3</v>
      </c>
      <c r="F31" s="134">
        <f>IF(ABS('Log quadratic'!$E$10)&lt;0.0001,'Log quadratic'!D23,NA())</f>
        <v>7.0486804366770824E-3</v>
      </c>
      <c r="G31" s="134"/>
      <c r="H31" s="134">
        <f ca="1">Splicing!K22</f>
        <v>4.50931796325866E-3</v>
      </c>
      <c r="I31" s="134">
        <f ca="1">IF(ABS('Brass logit'!$I$11)&lt;0.0001,'Brass logit'!I25,NA())</f>
        <v>4.4204107197393858E-3</v>
      </c>
      <c r="J31" s="134">
        <f>IF(ABS('Modified logit'!$I$11)&lt;0.0001,'Modified logit'!I25,NA())</f>
        <v>4.4041745496739976E-3</v>
      </c>
      <c r="K31" s="134">
        <f>IF(ABS('Log quadratic'!$I$10)&lt;0.0001,'Log quadratic'!H23,NA())</f>
        <v>4.9747683362760539E-3</v>
      </c>
    </row>
    <row r="32" spans="2:11" x14ac:dyDescent="0.25">
      <c r="B32" s="99">
        <v>50</v>
      </c>
      <c r="C32" s="134">
        <f ca="1">Splicing!F23</f>
        <v>1.0739017444557693E-2</v>
      </c>
      <c r="D32" s="134">
        <f ca="1">IF(ABS('Brass logit'!$E$11)&lt;0.0001,'Brass logit'!E26,NA())</f>
        <v>1.0272548707849482E-2</v>
      </c>
      <c r="E32" s="134">
        <f>IF(ABS('Modified logit'!$E$11)&lt;0.0001,'Modified logit'!E26,NA())</f>
        <v>1.1487992551997766E-2</v>
      </c>
      <c r="F32" s="134">
        <f>IF(ABS('Log quadratic'!$E$10)&lt;0.0001,'Log quadratic'!D24,NA())</f>
        <v>1.0721240294535216E-2</v>
      </c>
      <c r="G32" s="134"/>
      <c r="H32" s="134">
        <f ca="1">Splicing!K23</f>
        <v>6.3763339571665878E-3</v>
      </c>
      <c r="I32" s="134">
        <f ca="1">IF(ABS('Brass logit'!$I$11)&lt;0.0001,'Brass logit'!I26,NA())</f>
        <v>5.9241532511639236E-3</v>
      </c>
      <c r="J32" s="134">
        <f>IF(ABS('Modified logit'!$I$11)&lt;0.0001,'Modified logit'!I26,NA())</f>
        <v>6.8527292567873953E-3</v>
      </c>
      <c r="K32" s="134">
        <f>IF(ABS('Log quadratic'!$I$10)&lt;0.0001,'Log quadratic'!H24,NA())</f>
        <v>7.4312778626860702E-3</v>
      </c>
    </row>
    <row r="33" spans="2:11" x14ac:dyDescent="0.25">
      <c r="B33" s="99">
        <v>55</v>
      </c>
      <c r="C33" s="134">
        <f ca="1">Splicing!F24</f>
        <v>1.6073032465832731E-2</v>
      </c>
      <c r="D33" s="134">
        <f ca="1">IF(ABS('Brass logit'!$E$11)&lt;0.0001,'Brass logit'!E27,NA())</f>
        <v>1.4617827323008268E-2</v>
      </c>
      <c r="E33" s="134">
        <f>IF(ABS('Modified logit'!$E$11)&lt;0.0001,'Modified logit'!E27,NA())</f>
        <v>1.8065288767014669E-2</v>
      </c>
      <c r="F33" s="134">
        <f>IF(ABS('Log quadratic'!$E$10)&lt;0.0001,'Log quadratic'!D25,NA())</f>
        <v>1.6537246535026529E-2</v>
      </c>
      <c r="G33" s="134"/>
      <c r="H33" s="134">
        <f ca="1">Splicing!K24</f>
        <v>9.1827800948150583E-3</v>
      </c>
      <c r="I33" s="134">
        <f ca="1">IF(ABS('Brass logit'!$I$11)&lt;0.0001,'Brass logit'!I27,NA())</f>
        <v>8.0152020970764189E-3</v>
      </c>
      <c r="J33" s="134">
        <f>IF(ABS('Modified logit'!$I$11)&lt;0.0001,'Modified logit'!I27,NA())</f>
        <v>1.1056321598047831E-2</v>
      </c>
      <c r="K33" s="134">
        <f>IF(ABS('Log quadratic'!$I$10)&lt;0.0001,'Log quadratic'!H25,NA())</f>
        <v>1.1085833013593021E-2</v>
      </c>
    </row>
    <row r="34" spans="2:11" x14ac:dyDescent="0.25">
      <c r="B34" s="99">
        <v>60</v>
      </c>
      <c r="C34" s="134">
        <f ca="1">Splicing!F25</f>
        <v>2.466963645568148E-2</v>
      </c>
      <c r="D34" s="134">
        <f ca="1">IF(ABS('Brass logit'!$E$11)&lt;0.0001,'Brass logit'!E28,NA())</f>
        <v>2.1228197140564984E-2</v>
      </c>
      <c r="E34" s="134">
        <f>IF(ABS('Modified logit'!$E$11)&lt;0.0001,'Modified logit'!E28,NA())</f>
        <v>2.560279309428256E-2</v>
      </c>
      <c r="F34" s="134">
        <f>IF(ABS('Log quadratic'!$E$10)&lt;0.0001,'Log quadratic'!D26,NA())</f>
        <v>2.6291755325281541E-2</v>
      </c>
      <c r="G34" s="134"/>
      <c r="H34" s="134">
        <f ca="1">Splicing!K25</f>
        <v>1.4600816449754032E-2</v>
      </c>
      <c r="I34" s="134">
        <f ca="1">IF(ABS('Brass logit'!$I$11)&lt;0.0001,'Brass logit'!I28,NA())</f>
        <v>1.1840552069247823E-2</v>
      </c>
      <c r="J34" s="134">
        <f>IF(ABS('Modified logit'!$I$11)&lt;0.0001,'Modified logit'!I28,NA())</f>
        <v>1.6789598124313836E-2</v>
      </c>
      <c r="K34" s="134">
        <f>IF(ABS('Log quadratic'!$I$10)&lt;0.0001,'Log quadratic'!H26,NA())</f>
        <v>1.9038279146284906E-2</v>
      </c>
    </row>
    <row r="35" spans="2:11" x14ac:dyDescent="0.25">
      <c r="B35" s="99">
        <v>65</v>
      </c>
      <c r="C35" s="134">
        <f ca="1">Splicing!F26</f>
        <v>3.7964470083016615E-2</v>
      </c>
      <c r="D35" s="134">
        <f ca="1">IF(ABS('Brass logit'!$E$11)&lt;0.0001,'Brass logit'!E29,NA())</f>
        <v>3.0924062581717825E-2</v>
      </c>
      <c r="E35" s="134">
        <f>IF(ABS('Modified logit'!$E$11)&lt;0.0001,'Modified logit'!E29,NA())</f>
        <v>3.9773696210612344E-2</v>
      </c>
      <c r="F35" s="134">
        <f>IF(ABS('Log quadratic'!$E$10)&lt;0.0001,'Log quadratic'!D27,NA())</f>
        <v>4.1388807311288973E-2</v>
      </c>
      <c r="G35" s="134"/>
      <c r="H35" s="134">
        <f ca="1">Splicing!K26</f>
        <v>2.3658822313461812E-2</v>
      </c>
      <c r="I35" s="134">
        <f ca="1">IF(ABS('Brass logit'!$I$11)&lt;0.0001,'Brass logit'!I29,NA())</f>
        <v>1.7645872343019568E-2</v>
      </c>
      <c r="J35" s="134">
        <f>IF(ABS('Modified logit'!$I$11)&lt;0.0001,'Modified logit'!I29,NA())</f>
        <v>2.8475147263135204E-2</v>
      </c>
      <c r="K35" s="134">
        <f>IF(ABS('Log quadratic'!$I$10)&lt;0.0001,'Log quadratic'!H27,NA())</f>
        <v>3.1791663525468784E-2</v>
      </c>
    </row>
    <row r="36" spans="2:11" x14ac:dyDescent="0.25">
      <c r="B36" s="99">
        <v>70</v>
      </c>
      <c r="C36" s="134">
        <f ca="1">Splicing!F27</f>
        <v>5.994514682808242E-2</v>
      </c>
      <c r="D36" s="134">
        <f ca="1">IF(ABS('Brass logit'!$E$11)&lt;0.0001,'Brass logit'!E30,NA())</f>
        <v>4.6619716972574769E-2</v>
      </c>
      <c r="E36" s="134">
        <f>IF(ABS('Modified logit'!$E$11)&lt;0.0001,'Modified logit'!E30,NA())</f>
        <v>6.1796379094256768E-2</v>
      </c>
      <c r="F36" s="134">
        <f>IF(ABS('Log quadratic'!$E$10)&lt;0.0001,'Log quadratic'!D28,NA())</f>
        <v>6.653104270121471E-2</v>
      </c>
      <c r="G36" s="134"/>
      <c r="H36" s="134">
        <f ca="1">Splicing!K27</f>
        <v>4.1019689849049586E-2</v>
      </c>
      <c r="I36" s="134">
        <f ca="1">IF(ABS('Brass logit'!$I$11)&lt;0.0001,'Brass logit'!I30,NA())</f>
        <v>2.8035464094136025E-2</v>
      </c>
      <c r="J36" s="134">
        <f>IF(ABS('Modified logit'!$I$11)&lt;0.0001,'Modified logit'!I30,NA())</f>
        <v>4.8187115012701148E-2</v>
      </c>
      <c r="K36" s="134">
        <f>IF(ABS('Log quadratic'!$I$10)&lt;0.0001,'Log quadratic'!H28,NA())</f>
        <v>5.6453940430485801E-2</v>
      </c>
    </row>
    <row r="37" spans="2:11" x14ac:dyDescent="0.25">
      <c r="B37" s="99">
        <v>75</v>
      </c>
      <c r="C37" s="134">
        <f ca="1">Splicing!F28</f>
        <v>9.638333484988143E-2</v>
      </c>
      <c r="D37" s="134">
        <f ca="1">IF(ABS('Brass logit'!$E$11)&lt;0.0001,'Brass logit'!E31,NA())</f>
        <v>7.2912895246468337E-2</v>
      </c>
      <c r="E37" s="134">
        <f>IF(ABS('Modified logit'!$E$11)&lt;0.0001,'Modified logit'!E31,NA())</f>
        <v>9.574976655821231E-2</v>
      </c>
      <c r="F37" s="134">
        <f>IF(ABS('Log quadratic'!$E$10)&lt;0.0001,'Log quadratic'!D29,NA())</f>
        <v>0.1060902918331573</v>
      </c>
      <c r="G37" s="134"/>
      <c r="H37" s="134">
        <f ca="1">Splicing!K28</f>
        <v>7.2453656902796329E-2</v>
      </c>
      <c r="I37" s="134">
        <f ca="1">IF(ABS('Brass logit'!$I$11)&lt;0.0001,'Brass logit'!I31,NA())</f>
        <v>4.5917755543836404E-2</v>
      </c>
      <c r="J37" s="134">
        <f>IF(ABS('Modified logit'!$I$11)&lt;0.0001,'Modified logit'!I31,NA())</f>
        <v>8.0237154328968982E-2</v>
      </c>
      <c r="K37" s="134">
        <f>IF(ABS('Log quadratic'!$I$10)&lt;0.0001,'Log quadratic'!H29,NA())</f>
        <v>9.512184237963929E-2</v>
      </c>
    </row>
    <row r="38" spans="2:11" x14ac:dyDescent="0.25">
      <c r="B38" s="99">
        <v>80</v>
      </c>
      <c r="C38" s="134">
        <f ca="1">Splicing!F29</f>
        <v>0.152888449858299</v>
      </c>
      <c r="D38" s="134">
        <f ca="1">IF(ABS('Brass logit'!$E$11)&lt;0.0001,'Brass logit'!E32,NA())</f>
        <v>0.11617891117482292</v>
      </c>
      <c r="E38" s="134">
        <f>IF(ABS('Modified logit'!$E$11)&lt;0.0001,'Modified logit'!E32,NA())</f>
        <v>0.14862111875813749</v>
      </c>
      <c r="F38" s="134">
        <f>IF(ABS('Log quadratic'!$E$10)&lt;0.0001,'Log quadratic'!D30,NA())</f>
        <v>0.16457990669227651</v>
      </c>
      <c r="G38" s="134"/>
      <c r="H38" s="134">
        <f ca="1">Splicing!K29</f>
        <v>0.12753747323135634</v>
      </c>
      <c r="I38" s="134">
        <f ca="1">IF(ABS('Brass logit'!$I$11)&lt;0.0001,'Brass logit'!I32,NA())</f>
        <v>7.8350673340179158E-2</v>
      </c>
      <c r="J38" s="134">
        <f>IF(ABS('Modified logit'!$I$11)&lt;0.0001,'Modified logit'!I32,NA())</f>
        <v>0.12900112149586007</v>
      </c>
      <c r="K38" s="134">
        <f>IF(ABS('Log quadratic'!$I$10)&lt;0.0001,'Log quadratic'!H30,NA())</f>
        <v>0.15005189364458194</v>
      </c>
    </row>
    <row r="39" spans="2:11" x14ac:dyDescent="0.25">
      <c r="B39" s="95">
        <v>85</v>
      </c>
      <c r="C39" s="134">
        <f ca="1">Splicing!F30</f>
        <v>0.23696849555958779</v>
      </c>
      <c r="D39" s="134">
        <f ca="1">IF(ABS('Brass logit'!$E$11)&lt;0.0001,'Brass logit'!E33,NA())</f>
        <v>0.18643530570377062</v>
      </c>
      <c r="E39" s="134">
        <f>IF(ABS('Modified logit'!$E$11)&lt;0.0001,'Modified logit'!E33,NA())</f>
        <v>0.23068711010894818</v>
      </c>
      <c r="F39" s="134">
        <f>IF(ABS('Log quadratic'!$E$10)&lt;0.0001,'Log quadratic'!D31,NA())</f>
        <v>0.2493577476081193</v>
      </c>
      <c r="G39" s="134"/>
      <c r="H39" s="134">
        <f ca="1">Splicing!K30</f>
        <v>0.2103330837326238</v>
      </c>
      <c r="I39" s="134">
        <f ca="1">IF(ABS('Brass logit'!$I$11)&lt;0.0001,'Brass logit'!I33,NA())</f>
        <v>0.13367833289032238</v>
      </c>
      <c r="J39" s="134">
        <f>IF(ABS('Modified logit'!$I$11)&lt;0.0001,'Modified logit'!I33,NA())</f>
        <v>0.20740129041666971</v>
      </c>
      <c r="K39" s="134">
        <f>IF(ABS('Log quadratic'!$I$10)&lt;0.0001,'Log quadratic'!H31,NA())</f>
        <v>0.22286286029806654</v>
      </c>
    </row>
    <row r="40" spans="2:11" x14ac:dyDescent="0.25">
      <c r="B40" s="95">
        <v>90</v>
      </c>
      <c r="C40" s="134">
        <f ca="1">Splicing!F31</f>
        <v>0.33842736189941619</v>
      </c>
      <c r="D40" s="134">
        <f ca="1">IF(ABS('Brass logit'!$E$11)&lt;0.0001,'Brass logit'!E34,NA())</f>
        <v>0.27971367152842053</v>
      </c>
      <c r="E40" s="134"/>
      <c r="F40" s="134">
        <f>IF(ABS('Log quadratic'!$E$10)&lt;0.0001,'Log quadratic'!D32,NA())</f>
        <v>0.34863488209355797</v>
      </c>
      <c r="G40" s="134"/>
      <c r="H40" s="134">
        <f ca="1">Splicing!K31</f>
        <v>0.31055097017121219</v>
      </c>
      <c r="I40" s="134">
        <f ca="1">IF(ABS('Brass logit'!$I$11)&lt;0.0001,'Brass logit'!I34,NA())</f>
        <v>0.2144356968865466</v>
      </c>
      <c r="J40" s="134"/>
      <c r="K40" s="134">
        <f>IF(ABS('Log quadratic'!$I$10)&lt;0.0001,'Log quadratic'!H32,NA())</f>
        <v>0.31689901558384326</v>
      </c>
    </row>
    <row r="41" spans="2:11" x14ac:dyDescent="0.25">
      <c r="B41" s="95">
        <v>95</v>
      </c>
      <c r="C41" s="134">
        <f ca="1">Splicing!F32</f>
        <v>0.46306568497169875</v>
      </c>
      <c r="D41" s="134">
        <f ca="1">IF(ABS('Brass logit'!$E$11)&lt;0.0001,'Brass logit'!E35,NA())</f>
        <v>0.39681490550159731</v>
      </c>
      <c r="E41" s="134"/>
      <c r="F41" s="134">
        <f>IF(ABS('Log quadratic'!$E$10)&lt;0.0001,'Log quadratic'!D33,NA())</f>
        <v>0.46981708403242989</v>
      </c>
      <c r="G41" s="134"/>
      <c r="H41" s="134">
        <f ca="1">Splicing!K32</f>
        <v>0.43340259530090286</v>
      </c>
      <c r="I41" s="134">
        <f ca="1">IF(ABS('Brass logit'!$I$11)&lt;0.0001,'Brass logit'!I35,NA())</f>
        <v>0.32035744850972137</v>
      </c>
      <c r="J41" s="134"/>
      <c r="K41" s="134">
        <f>IF(ABS('Log quadratic'!$I$10)&lt;0.0001,'Log quadratic'!H33,NA())</f>
        <v>0.43583783206837795</v>
      </c>
    </row>
    <row r="42" spans="2:11" x14ac:dyDescent="0.25">
      <c r="B42" s="95">
        <v>100</v>
      </c>
      <c r="C42" s="134">
        <f ca="1">Splicing!F33</f>
        <v>0.51982891134795062</v>
      </c>
      <c r="D42" s="134">
        <f ca="1">IF(ABS('Brass logit'!$E$11)&lt;0.0001,'Brass logit'!E36,NA())</f>
        <v>0.45345113561712236</v>
      </c>
      <c r="E42" s="134"/>
      <c r="F42" s="134">
        <f>IF(ABS('Log quadratic'!$E$10)&lt;0.0001,'Log quadratic'!D34,NA())</f>
        <v>0.5919302108370037</v>
      </c>
      <c r="G42" s="134"/>
      <c r="H42" s="134">
        <f ca="1">Splicing!K33</f>
        <v>0.50842026210781877</v>
      </c>
      <c r="I42" s="134">
        <f ca="1">IF(ABS('Brass logit'!$I$11)&lt;0.0001,'Brass logit'!I36,NA())</f>
        <v>0.39533984963032204</v>
      </c>
      <c r="J42" s="134"/>
      <c r="K42" s="134">
        <f>IF(ABS('Log quadratic'!$I$10)&lt;0.0001,'Log quadratic'!H34,NA())</f>
        <v>0.55900264254266074</v>
      </c>
    </row>
    <row r="43" spans="2:11" x14ac:dyDescent="0.25">
      <c r="B43" s="95">
        <v>105</v>
      </c>
      <c r="C43" s="134">
        <f ca="1">Splicing!F34</f>
        <v>0.54667570548770705</v>
      </c>
      <c r="D43" s="134">
        <f ca="1">IF(ABS('Brass logit'!$E$11)&lt;0.0001,'Brass logit'!E37,NA())</f>
        <v>0.47325131675456966</v>
      </c>
      <c r="E43" s="134"/>
      <c r="F43" s="134">
        <f>IF(ABS('Log quadratic'!$E$10)&lt;0.0001,'Log quadratic'!D35,NA())</f>
        <v>0.705246258976024</v>
      </c>
      <c r="G43" s="134"/>
      <c r="H43" s="134">
        <f ca="1">Splicing!K34</f>
        <v>0.54949962338715852</v>
      </c>
      <c r="I43" s="134">
        <f ca="1">IF(ABS('Brass logit'!$I$11)&lt;0.0001,'Brass logit'!I37,NA())</f>
        <v>0.42925939322068191</v>
      </c>
      <c r="J43" s="134"/>
      <c r="K43" s="134">
        <f>IF(ABS('Log quadratic'!$I$10)&lt;0.0001,'Log quadratic'!H35,NA())</f>
        <v>0.67742479371050501</v>
      </c>
    </row>
    <row r="44" spans="2:11" x14ac:dyDescent="0.25">
      <c r="B44" s="95">
        <v>110</v>
      </c>
      <c r="C44" s="134">
        <f ca="1">Splicing!F35</f>
        <v>0.57490901418994422</v>
      </c>
      <c r="D44" s="134">
        <f ca="1">IF(ABS('Brass logit'!$E$11)&lt;0.0001,'Brass logit'!E38,NA())</f>
        <v>0.49391608316324398</v>
      </c>
      <c r="E44" s="134"/>
      <c r="F44" s="134">
        <f>IF(ABS('Log quadratic'!$E$10)&lt;0.0001,'Log quadratic'!D36,NA())</f>
        <v>0.79648475180038469</v>
      </c>
      <c r="G44" s="134"/>
      <c r="H44" s="134">
        <f ca="1">Splicing!K35</f>
        <v>0.59389811659118275</v>
      </c>
      <c r="I44" s="134">
        <f ca="1">IF(ABS('Brass logit'!$I$11)&lt;0.0001,'Brass logit'!I38,NA())</f>
        <v>0.46608918084147327</v>
      </c>
      <c r="J44" s="134"/>
      <c r="K44" s="134">
        <f>IF(ABS('Log quadratic'!$I$10)&lt;0.0001,'Log quadratic'!H36,NA())</f>
        <v>0.76648346028499825</v>
      </c>
    </row>
  </sheetData>
  <mergeCells count="3">
    <mergeCell ref="B3:E3"/>
    <mergeCell ref="G3:J3"/>
    <mergeCell ref="A1:J1"/>
  </mergeCells>
  <phoneticPr fontId="35"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8"/>
  <sheetViews>
    <sheetView workbookViewId="0">
      <selection activeCell="B31" sqref="B31"/>
    </sheetView>
  </sheetViews>
  <sheetFormatPr defaultColWidth="9.109375" defaultRowHeight="13.2" x14ac:dyDescent="0.25"/>
  <cols>
    <col min="1" max="1" width="7" style="9" customWidth="1"/>
    <col min="2" max="3" width="8.5546875" style="9" bestFit="1" customWidth="1"/>
    <col min="4" max="4" width="10" style="9" bestFit="1" customWidth="1"/>
    <col min="5" max="5" width="1.44140625" style="9" customWidth="1"/>
    <col min="6" max="7" width="8.5546875" style="9" bestFit="1" customWidth="1"/>
    <col min="8" max="8" width="10" style="9" bestFit="1" customWidth="1"/>
    <col min="9" max="9" width="1.44140625" style="9" customWidth="1"/>
    <col min="10" max="11" width="8.5546875" style="9" bestFit="1" customWidth="1"/>
    <col min="12" max="12" width="10" style="9" bestFit="1" customWidth="1"/>
    <col min="13" max="13" width="1.44140625" style="9" customWidth="1"/>
    <col min="14" max="15" width="8.5546875" style="9" bestFit="1" customWidth="1"/>
    <col min="16" max="16" width="10" style="9" bestFit="1" customWidth="1"/>
    <col min="17" max="17" width="1.44140625" style="9" customWidth="1"/>
    <col min="18" max="19" width="8.5546875" style="9" bestFit="1" customWidth="1"/>
    <col min="20" max="20" width="10" style="9" bestFit="1" customWidth="1"/>
    <col min="21" max="21" width="1.44140625" style="9" customWidth="1"/>
    <col min="22" max="23" width="8.5546875" style="9" bestFit="1" customWidth="1"/>
    <col min="24" max="24" width="10" style="9" bestFit="1" customWidth="1"/>
    <col min="25" max="25" width="1.44140625" style="9" customWidth="1"/>
    <col min="26" max="27" width="8.5546875" style="9" bestFit="1" customWidth="1"/>
    <col min="28" max="28" width="10" style="9" bestFit="1" customWidth="1"/>
    <col min="29" max="29" width="1.44140625" style="9" customWidth="1"/>
    <col min="30" max="31" width="8.5546875" style="9" bestFit="1" customWidth="1"/>
    <col min="32" max="32" width="10" style="9" bestFit="1" customWidth="1"/>
    <col min="33" max="33" width="1.44140625" style="9" customWidth="1"/>
    <col min="34" max="35" width="8.5546875" style="9" bestFit="1" customWidth="1"/>
    <col min="36" max="36" width="10" style="9" bestFit="1" customWidth="1"/>
    <col min="37" max="37" width="1.44140625" style="9" customWidth="1"/>
    <col min="38" max="40" width="8.88671875" customWidth="1"/>
    <col min="41" max="16384" width="9.109375" style="9"/>
  </cols>
  <sheetData>
    <row r="1" spans="1:37" s="2" customFormat="1" ht="16.2" x14ac:dyDescent="0.35">
      <c r="A1" s="1" t="s">
        <v>106</v>
      </c>
    </row>
    <row r="2" spans="1:37" s="2" customFormat="1" ht="14.4" x14ac:dyDescent="0.25">
      <c r="B2" s="226" t="s">
        <v>97</v>
      </c>
      <c r="C2" s="227"/>
      <c r="D2" s="228"/>
      <c r="E2" s="3"/>
      <c r="F2" s="226" t="s">
        <v>98</v>
      </c>
      <c r="G2" s="227"/>
      <c r="H2" s="228"/>
      <c r="I2" s="3"/>
      <c r="J2" s="226" t="s">
        <v>99</v>
      </c>
      <c r="K2" s="227"/>
      <c r="L2" s="228"/>
      <c r="M2" s="3"/>
      <c r="N2" s="226" t="s">
        <v>100</v>
      </c>
      <c r="O2" s="227"/>
      <c r="P2" s="228"/>
      <c r="Q2" s="3"/>
      <c r="R2" s="226" t="s">
        <v>101</v>
      </c>
      <c r="S2" s="227"/>
      <c r="T2" s="228"/>
      <c r="U2" s="3"/>
      <c r="V2" s="226" t="s">
        <v>102</v>
      </c>
      <c r="W2" s="227"/>
      <c r="X2" s="228"/>
      <c r="Y2" s="3"/>
      <c r="Z2" s="226" t="s">
        <v>103</v>
      </c>
      <c r="AA2" s="227"/>
      <c r="AB2" s="228"/>
      <c r="AC2" s="3"/>
      <c r="AD2" s="226" t="s">
        <v>104</v>
      </c>
      <c r="AE2" s="227"/>
      <c r="AF2" s="228"/>
      <c r="AG2" s="3"/>
      <c r="AH2" s="226" t="s">
        <v>105</v>
      </c>
      <c r="AI2" s="227"/>
      <c r="AJ2" s="228"/>
      <c r="AK2" s="3"/>
    </row>
    <row r="3" spans="1:37" s="2" customFormat="1" ht="13.8" x14ac:dyDescent="0.25">
      <c r="A3" s="192" t="s">
        <v>95</v>
      </c>
      <c r="B3" s="4" t="s">
        <v>64</v>
      </c>
      <c r="C3" s="1" t="s">
        <v>65</v>
      </c>
      <c r="D3" s="5" t="s">
        <v>96</v>
      </c>
      <c r="E3" s="1"/>
      <c r="F3" s="4" t="s">
        <v>64</v>
      </c>
      <c r="G3" s="1" t="s">
        <v>65</v>
      </c>
      <c r="H3" s="5" t="s">
        <v>96</v>
      </c>
      <c r="I3" s="1"/>
      <c r="J3" s="4" t="s">
        <v>64</v>
      </c>
      <c r="K3" s="1" t="s">
        <v>65</v>
      </c>
      <c r="L3" s="5" t="s">
        <v>96</v>
      </c>
      <c r="M3" s="1"/>
      <c r="N3" s="4" t="s">
        <v>64</v>
      </c>
      <c r="O3" s="1" t="s">
        <v>65</v>
      </c>
      <c r="P3" s="5" t="s">
        <v>96</v>
      </c>
      <c r="Q3" s="1"/>
      <c r="R3" s="4" t="s">
        <v>64</v>
      </c>
      <c r="S3" s="1" t="s">
        <v>65</v>
      </c>
      <c r="T3" s="5" t="s">
        <v>96</v>
      </c>
      <c r="U3" s="1"/>
      <c r="V3" s="4" t="s">
        <v>64</v>
      </c>
      <c r="W3" s="1" t="s">
        <v>65</v>
      </c>
      <c r="X3" s="5" t="s">
        <v>96</v>
      </c>
      <c r="Y3" s="1"/>
      <c r="Z3" s="4" t="s">
        <v>64</v>
      </c>
      <c r="AA3" s="1" t="s">
        <v>65</v>
      </c>
      <c r="AB3" s="5" t="s">
        <v>96</v>
      </c>
      <c r="AC3" s="1"/>
      <c r="AD3" s="4" t="s">
        <v>64</v>
      </c>
      <c r="AE3" s="1" t="s">
        <v>65</v>
      </c>
      <c r="AF3" s="5" t="s">
        <v>96</v>
      </c>
      <c r="AG3" s="1"/>
      <c r="AH3" s="4" t="s">
        <v>64</v>
      </c>
      <c r="AI3" s="1" t="s">
        <v>65</v>
      </c>
      <c r="AJ3" s="5" t="s">
        <v>96</v>
      </c>
      <c r="AK3" s="1"/>
    </row>
    <row r="4" spans="1:37" ht="13.8" x14ac:dyDescent="0.25">
      <c r="A4" s="2">
        <v>0</v>
      </c>
      <c r="B4" s="6"/>
      <c r="C4" s="7"/>
      <c r="D4" s="8"/>
      <c r="F4" s="6"/>
      <c r="G4" s="7"/>
      <c r="H4" s="8"/>
      <c r="J4" s="6"/>
      <c r="K4" s="7"/>
      <c r="L4" s="8"/>
      <c r="N4" s="6"/>
      <c r="O4" s="7"/>
      <c r="P4" s="8"/>
      <c r="R4" s="6"/>
      <c r="S4" s="7"/>
      <c r="T4" s="8"/>
      <c r="V4" s="6"/>
      <c r="W4" s="7"/>
      <c r="X4" s="8"/>
      <c r="Z4" s="6"/>
      <c r="AA4" s="7"/>
      <c r="AB4" s="8"/>
      <c r="AD4" s="6"/>
      <c r="AE4" s="7"/>
      <c r="AF4" s="8"/>
      <c r="AH4" s="6"/>
      <c r="AI4" s="7"/>
      <c r="AJ4" s="8"/>
    </row>
    <row r="5" spans="1:37" ht="13.8" x14ac:dyDescent="0.25">
      <c r="A5" s="2">
        <v>1</v>
      </c>
      <c r="B5" s="10">
        <v>-1.3391918682730433</v>
      </c>
      <c r="C5" s="11">
        <v>-1.3205376539073994</v>
      </c>
      <c r="D5" s="12">
        <v>-1.3300166619272631</v>
      </c>
      <c r="E5" s="13"/>
      <c r="F5" s="10">
        <v>-1.149542994259372</v>
      </c>
      <c r="G5" s="11">
        <v>-1.1287564594165489</v>
      </c>
      <c r="H5" s="12">
        <v>-1.1393153104759235</v>
      </c>
      <c r="I5" s="13"/>
      <c r="J5" s="10">
        <v>-1.1995667190344683</v>
      </c>
      <c r="K5" s="11">
        <v>-1.159057693334963</v>
      </c>
      <c r="L5" s="12">
        <v>-1.1794669380666578</v>
      </c>
      <c r="M5" s="13"/>
      <c r="N5" s="10">
        <v>-1.3008882857309396</v>
      </c>
      <c r="O5" s="11">
        <v>-1.2828282862915501</v>
      </c>
      <c r="P5" s="12">
        <v>-1.2920084625948782</v>
      </c>
      <c r="Q5" s="13"/>
      <c r="R5" s="10">
        <v>-1.2808737879735403</v>
      </c>
      <c r="S5" s="11">
        <v>-1.2702343228546582</v>
      </c>
      <c r="T5" s="12">
        <v>-1.2756596114442857</v>
      </c>
      <c r="U5" s="13"/>
      <c r="V5" s="10">
        <v>-1.2244024839391032</v>
      </c>
      <c r="W5" s="11">
        <v>-1.23753030934175</v>
      </c>
      <c r="X5" s="12">
        <v>-1.2307700164916384</v>
      </c>
      <c r="Y5" s="13"/>
      <c r="Z5" s="10">
        <v>-1.1881811084640668</v>
      </c>
      <c r="AA5" s="11">
        <v>-1.1106269288043862</v>
      </c>
      <c r="AB5" s="12">
        <v>-1.1491210108255552</v>
      </c>
      <c r="AC5" s="13"/>
      <c r="AD5" s="10">
        <v>-1.1633364561886397</v>
      </c>
      <c r="AE5" s="11">
        <v>-1.1378733283421005</v>
      </c>
      <c r="AF5" s="12">
        <v>-1.1507828765224926</v>
      </c>
      <c r="AG5" s="13"/>
      <c r="AH5" s="10">
        <v>-1.4833929444880147</v>
      </c>
      <c r="AI5" s="11">
        <v>-1.3772257268162487</v>
      </c>
      <c r="AJ5" s="12">
        <v>-1.4290933741165424</v>
      </c>
      <c r="AK5" s="13"/>
    </row>
    <row r="6" spans="1:37" ht="13.8" x14ac:dyDescent="0.25">
      <c r="A6" s="2">
        <v>2</v>
      </c>
      <c r="B6" s="10">
        <v>-1.2482713700005119</v>
      </c>
      <c r="C6" s="11">
        <v>-1.2060902889860654</v>
      </c>
      <c r="D6" s="12">
        <v>-1.2273209044445137</v>
      </c>
      <c r="E6" s="13"/>
      <c r="F6" s="10">
        <v>-1.0529219229132221</v>
      </c>
      <c r="G6" s="11">
        <v>-1.0009991172979613</v>
      </c>
      <c r="H6" s="12">
        <v>-1.0270730854502448</v>
      </c>
      <c r="I6" s="13"/>
      <c r="J6" s="10">
        <v>-1.1377253644533953</v>
      </c>
      <c r="K6" s="11">
        <v>-1.0733530126616093</v>
      </c>
      <c r="L6" s="12">
        <v>-1.1054931620988286</v>
      </c>
      <c r="M6" s="13"/>
      <c r="N6" s="10">
        <v>-1.2215537498283509</v>
      </c>
      <c r="O6" s="11">
        <v>-1.1769512130842383</v>
      </c>
      <c r="P6" s="12">
        <v>-1.199382018993584</v>
      </c>
      <c r="Q6" s="13"/>
      <c r="R6" s="10">
        <v>-1.1994285555271815</v>
      </c>
      <c r="S6" s="11">
        <v>-1.1587986927915868</v>
      </c>
      <c r="T6" s="12">
        <v>-1.1792678283331384</v>
      </c>
      <c r="U6" s="13"/>
      <c r="V6" s="10">
        <v>-1.1230471529817474</v>
      </c>
      <c r="W6" s="11">
        <v>-1.1005760900291686</v>
      </c>
      <c r="X6" s="12">
        <v>-1.111984110632724</v>
      </c>
      <c r="Y6" s="13"/>
      <c r="Z6" s="10">
        <v>-1.1426712858304264</v>
      </c>
      <c r="AA6" s="11">
        <v>-1.0453999629280153</v>
      </c>
      <c r="AB6" s="12">
        <v>-1.0933348058002088</v>
      </c>
      <c r="AC6" s="13"/>
      <c r="AD6" s="10">
        <v>-1.0463868502835159</v>
      </c>
      <c r="AE6" s="11">
        <v>-1.0078054280696105</v>
      </c>
      <c r="AF6" s="12">
        <v>-1.0272791625090567</v>
      </c>
      <c r="AG6" s="13"/>
      <c r="AH6" s="10">
        <v>-1.4168729131570437</v>
      </c>
      <c r="AI6" s="11">
        <v>-1.2912753803659804</v>
      </c>
      <c r="AJ6" s="12">
        <v>-1.3521595311804706</v>
      </c>
      <c r="AK6" s="13"/>
    </row>
    <row r="7" spans="1:37" ht="13.8" x14ac:dyDescent="0.25">
      <c r="A7" s="2">
        <v>3</v>
      </c>
      <c r="B7" s="10">
        <v>-1.1910198660531051</v>
      </c>
      <c r="C7" s="11">
        <v>-1.1415199407859422</v>
      </c>
      <c r="D7" s="12">
        <v>-1.1663695111648762</v>
      </c>
      <c r="E7" s="13"/>
      <c r="F7" s="10">
        <v>-1.011641800202346</v>
      </c>
      <c r="G7" s="11">
        <v>-0.94932382970969997</v>
      </c>
      <c r="H7" s="12">
        <v>-0.98051169273159389</v>
      </c>
      <c r="I7" s="13"/>
      <c r="J7" s="10">
        <v>-1.1122189169025767</v>
      </c>
      <c r="K7" s="11">
        <v>-1.039688949985299</v>
      </c>
      <c r="L7" s="12">
        <v>-1.0757976651113399</v>
      </c>
      <c r="M7" s="13"/>
      <c r="N7" s="10">
        <v>-1.1859677355284142</v>
      </c>
      <c r="O7" s="11">
        <v>-1.1323859197276216</v>
      </c>
      <c r="P7" s="12">
        <v>-1.1592413135184099</v>
      </c>
      <c r="Q7" s="13"/>
      <c r="R7" s="10">
        <v>-1.1601037320689203</v>
      </c>
      <c r="S7" s="11">
        <v>-1.1075442776129736</v>
      </c>
      <c r="T7" s="12">
        <v>-1.1339041157033591</v>
      </c>
      <c r="U7" s="13"/>
      <c r="V7" s="10">
        <v>-1.0763916155281843</v>
      </c>
      <c r="W7" s="11">
        <v>-1.0398150394030004</v>
      </c>
      <c r="X7" s="12">
        <v>-1.0582869252092624</v>
      </c>
      <c r="Y7" s="13"/>
      <c r="Z7" s="10">
        <v>-1.1204664319857272</v>
      </c>
      <c r="AA7" s="11">
        <v>-1.0161031266207456</v>
      </c>
      <c r="AB7" s="12">
        <v>-1.0674114838312492</v>
      </c>
      <c r="AC7" s="13"/>
      <c r="AD7" s="10">
        <v>-0.99614963621114883</v>
      </c>
      <c r="AE7" s="11">
        <v>-0.95267015404496225</v>
      </c>
      <c r="AF7" s="12">
        <v>-0.9745854680761824</v>
      </c>
      <c r="AG7" s="13"/>
      <c r="AH7" s="10">
        <v>-1.3824458803830362</v>
      </c>
      <c r="AI7" s="11">
        <v>-1.2510802529977294</v>
      </c>
      <c r="AJ7" s="12">
        <v>-1.3146345295832591</v>
      </c>
      <c r="AK7" s="13"/>
    </row>
    <row r="8" spans="1:37" ht="13.8" x14ac:dyDescent="0.25">
      <c r="A8" s="2">
        <v>4</v>
      </c>
      <c r="B8" s="10">
        <v>-1.1495155578742873</v>
      </c>
      <c r="C8" s="11">
        <v>-1.0955047349247578</v>
      </c>
      <c r="D8" s="12">
        <v>-1.1225793890829769</v>
      </c>
      <c r="E8" s="13"/>
      <c r="F8" s="10">
        <v>-0.99004099456392958</v>
      </c>
      <c r="G8" s="11">
        <v>-0.92335583908746821</v>
      </c>
      <c r="H8" s="12">
        <v>-0.95668616163910714</v>
      </c>
      <c r="I8" s="13"/>
      <c r="J8" s="10">
        <v>-1.095915405129446</v>
      </c>
      <c r="K8" s="11">
        <v>-1.0182341470351175</v>
      </c>
      <c r="L8" s="12">
        <v>-1.0568390913683008</v>
      </c>
      <c r="M8" s="13"/>
      <c r="N8" s="10">
        <v>-1.162235485562451</v>
      </c>
      <c r="O8" s="11">
        <v>-1.1053871731772904</v>
      </c>
      <c r="P8" s="12">
        <v>-1.133848489507731</v>
      </c>
      <c r="Q8" s="13"/>
      <c r="R8" s="10">
        <v>-1.1355661598497071</v>
      </c>
      <c r="S8" s="11">
        <v>-1.0767436947993454</v>
      </c>
      <c r="T8" s="12">
        <v>-1.1061781300895608</v>
      </c>
      <c r="U8" s="13"/>
      <c r="V8" s="10">
        <v>-1.0483131224481017</v>
      </c>
      <c r="W8" s="11">
        <v>-1.0046334008611115</v>
      </c>
      <c r="X8" s="12">
        <v>-1.0266375793312168</v>
      </c>
      <c r="Y8" s="13"/>
      <c r="Z8" s="10">
        <v>-1.1064494491943582</v>
      </c>
      <c r="AA8" s="11">
        <v>-0.99875000439963968</v>
      </c>
      <c r="AB8" s="12">
        <v>-1.0516452658577295</v>
      </c>
      <c r="AC8" s="13"/>
      <c r="AD8" s="10">
        <v>-0.96773940096371158</v>
      </c>
      <c r="AE8" s="11">
        <v>-0.9220865668115743</v>
      </c>
      <c r="AF8" s="12">
        <v>-0.94508557737724608</v>
      </c>
      <c r="AG8" s="13"/>
      <c r="AH8" s="10">
        <v>-1.3597144854110406</v>
      </c>
      <c r="AI8" s="11">
        <v>-1.2265311577755469</v>
      </c>
      <c r="AJ8" s="12">
        <v>-1.2909394381592718</v>
      </c>
      <c r="AK8" s="13"/>
    </row>
    <row r="9" spans="1:37" ht="13.8" x14ac:dyDescent="0.25">
      <c r="A9" s="2">
        <v>5</v>
      </c>
      <c r="B9" s="10">
        <v>-1.1185632260148939</v>
      </c>
      <c r="C9" s="11">
        <v>-1.061325256602174</v>
      </c>
      <c r="D9" s="12">
        <v>-1.0899897929411233</v>
      </c>
      <c r="E9" s="13"/>
      <c r="F9" s="10">
        <v>-0.97803104804351482</v>
      </c>
      <c r="G9" s="11">
        <v>-0.90879111177777439</v>
      </c>
      <c r="H9" s="12">
        <v>-0.94337274491278955</v>
      </c>
      <c r="I9" s="13"/>
      <c r="J9" s="10">
        <v>-1.0839281949744348</v>
      </c>
      <c r="K9" s="11">
        <v>-1.0034528162299363</v>
      </c>
      <c r="L9" s="12">
        <v>-1.0434107208936003</v>
      </c>
      <c r="M9" s="13"/>
      <c r="N9" s="10">
        <v>-1.1443836734991739</v>
      </c>
      <c r="O9" s="11">
        <v>-1.0842444395521329</v>
      </c>
      <c r="P9" s="12">
        <v>-1.1143192900977046</v>
      </c>
      <c r="Q9" s="13"/>
      <c r="R9" s="10">
        <v>-1.1183426521790116</v>
      </c>
      <c r="S9" s="11">
        <v>-1.0557703137725243</v>
      </c>
      <c r="T9" s="12">
        <v>-1.0870408602371626</v>
      </c>
      <c r="U9" s="13"/>
      <c r="V9" s="10">
        <v>-1.0292629455595335</v>
      </c>
      <c r="W9" s="11">
        <v>-0.98147966750972182</v>
      </c>
      <c r="X9" s="12">
        <v>-1.005518141540678</v>
      </c>
      <c r="Y9" s="13"/>
      <c r="Z9" s="10">
        <v>-1.0965955555752871</v>
      </c>
      <c r="AA9" s="11">
        <v>-0.98713578518709799</v>
      </c>
      <c r="AB9" s="12">
        <v>-1.040870571612214</v>
      </c>
      <c r="AC9" s="13"/>
      <c r="AD9" s="10">
        <v>-0.9494788835701552</v>
      </c>
      <c r="AE9" s="11">
        <v>-0.90273094854934122</v>
      </c>
      <c r="AF9" s="12">
        <v>-0.92627696607578747</v>
      </c>
      <c r="AG9" s="13"/>
      <c r="AH9" s="10">
        <v>-1.3430952157810709</v>
      </c>
      <c r="AI9" s="11">
        <v>-1.2095785232792193</v>
      </c>
      <c r="AJ9" s="12">
        <v>-1.2741582599497068</v>
      </c>
      <c r="AK9" s="13"/>
    </row>
    <row r="10" spans="1:37" ht="13.8" x14ac:dyDescent="0.25">
      <c r="A10" s="2">
        <v>10</v>
      </c>
      <c r="B10" s="10">
        <v>-1.0393562968308907</v>
      </c>
      <c r="C10" s="11">
        <v>-0.97867737240738273</v>
      </c>
      <c r="D10" s="12">
        <v>-1.0090525505490437</v>
      </c>
      <c r="E10" s="13"/>
      <c r="F10" s="10">
        <v>-0.94784307566733739</v>
      </c>
      <c r="G10" s="11">
        <v>-0.87426674682746675</v>
      </c>
      <c r="H10" s="12">
        <v>-0.9109759656016303</v>
      </c>
      <c r="I10" s="13"/>
      <c r="J10" s="10">
        <v>-1.0472539080439389</v>
      </c>
      <c r="K10" s="11">
        <v>-0.96210277111891918</v>
      </c>
      <c r="L10" s="12">
        <v>-1.0043334640576214</v>
      </c>
      <c r="M10" s="13"/>
      <c r="N10" s="10">
        <v>-1.0968312103313975</v>
      </c>
      <c r="O10" s="11">
        <v>-1.0329081865332934</v>
      </c>
      <c r="P10" s="12">
        <v>-1.0648450322432061</v>
      </c>
      <c r="Q10" s="13"/>
      <c r="R10" s="10">
        <v>-1.0743948523980273</v>
      </c>
      <c r="S10" s="11">
        <v>-1.0059690881890577</v>
      </c>
      <c r="T10" s="12">
        <v>-1.0401061476730076</v>
      </c>
      <c r="U10" s="13"/>
      <c r="V10" s="10">
        <v>-0.98369901448796815</v>
      </c>
      <c r="W10" s="11">
        <v>-0.93040263712809212</v>
      </c>
      <c r="X10" s="12">
        <v>-0.95717334253081887</v>
      </c>
      <c r="Y10" s="13"/>
      <c r="Z10" s="10">
        <v>-1.0710479766829692</v>
      </c>
      <c r="AA10" s="11">
        <v>-0.96012756983373815</v>
      </c>
      <c r="AB10" s="12">
        <v>-1.0145804306666857</v>
      </c>
      <c r="AC10" s="13"/>
      <c r="AD10" s="10">
        <v>-0.91071238550681488</v>
      </c>
      <c r="AE10" s="11">
        <v>-0.86341317190230826</v>
      </c>
      <c r="AF10" s="12">
        <v>-0.88724264033592859</v>
      </c>
      <c r="AG10" s="13"/>
      <c r="AH10" s="10">
        <v>-1.2967451336857732</v>
      </c>
      <c r="AI10" s="11">
        <v>-1.1678086462282879</v>
      </c>
      <c r="AJ10" s="12">
        <v>-1.2303496154337019</v>
      </c>
      <c r="AK10" s="13"/>
    </row>
    <row r="11" spans="1:37" ht="13.8" x14ac:dyDescent="0.25">
      <c r="A11" s="2">
        <v>15</v>
      </c>
      <c r="B11" s="10">
        <v>-0.99810318323243907</v>
      </c>
      <c r="C11" s="11">
        <v>-0.93456378789298888</v>
      </c>
      <c r="D11" s="12">
        <v>-0.96635456814626275</v>
      </c>
      <c r="E11" s="13"/>
      <c r="F11" s="10">
        <v>-0.92724294571284704</v>
      </c>
      <c r="G11" s="11">
        <v>-0.85272014880258951</v>
      </c>
      <c r="H11" s="12">
        <v>-0.88990310948808893</v>
      </c>
      <c r="I11" s="13"/>
      <c r="J11" s="10">
        <v>-1.0232404683298353</v>
      </c>
      <c r="K11" s="11">
        <v>-0.93688771389348002</v>
      </c>
      <c r="L11" s="12">
        <v>-0.97971406825728613</v>
      </c>
      <c r="M11" s="13"/>
      <c r="N11" s="10">
        <v>-1.0631132391187417</v>
      </c>
      <c r="O11" s="11">
        <v>-0.99562585121052949</v>
      </c>
      <c r="P11" s="12">
        <v>-1.0293119689456429</v>
      </c>
      <c r="Q11" s="13"/>
      <c r="R11" s="10">
        <v>-1.046640904616448</v>
      </c>
      <c r="S11" s="11">
        <v>-0.9778828398588445</v>
      </c>
      <c r="T11" s="12">
        <v>-1.0121945536850772</v>
      </c>
      <c r="U11" s="13"/>
      <c r="V11" s="10">
        <v>-0.95845256110003996</v>
      </c>
      <c r="W11" s="11">
        <v>-0.90544375058891757</v>
      </c>
      <c r="X11" s="12">
        <v>-0.93208088942572564</v>
      </c>
      <c r="Y11" s="13"/>
      <c r="Z11" s="10">
        <v>-1.0502865418043261</v>
      </c>
      <c r="AA11" s="11">
        <v>-0.93957838384724868</v>
      </c>
      <c r="AB11" s="12">
        <v>-0.99395789712628757</v>
      </c>
      <c r="AC11" s="13"/>
      <c r="AD11" s="10">
        <v>-0.89415623808717182</v>
      </c>
      <c r="AE11" s="11">
        <v>-0.84720717813866564</v>
      </c>
      <c r="AF11" s="12">
        <v>-0.87086768371809842</v>
      </c>
      <c r="AG11" s="13"/>
      <c r="AH11" s="10">
        <v>-1.2584276949461242</v>
      </c>
      <c r="AI11" s="11">
        <v>-1.1373286585570146</v>
      </c>
      <c r="AJ11" s="12">
        <v>-1.1963047021648439</v>
      </c>
      <c r="AK11" s="13"/>
    </row>
    <row r="12" spans="1:37" ht="13.8" x14ac:dyDescent="0.25">
      <c r="A12" s="2">
        <v>20</v>
      </c>
      <c r="B12" s="10">
        <v>-0.9416333856114224</v>
      </c>
      <c r="C12" s="11">
        <v>-0.88577608039760869</v>
      </c>
      <c r="D12" s="12">
        <v>-0.91382222014342573</v>
      </c>
      <c r="E12" s="13"/>
      <c r="F12" s="10">
        <v>-0.89806980739238718</v>
      </c>
      <c r="G12" s="11">
        <v>-0.82207221968309652</v>
      </c>
      <c r="H12" s="12">
        <v>-0.85999289910331278</v>
      </c>
      <c r="I12" s="13"/>
      <c r="J12" s="10">
        <v>-0.98210627496614655</v>
      </c>
      <c r="K12" s="11">
        <v>-0.90144694160929184</v>
      </c>
      <c r="L12" s="12">
        <v>-0.94156371692343144</v>
      </c>
      <c r="M12" s="13"/>
      <c r="N12" s="10">
        <v>-1.0130422551600544</v>
      </c>
      <c r="O12" s="11">
        <v>-0.94491044364009291</v>
      </c>
      <c r="P12" s="12">
        <v>-0.97893414503700538</v>
      </c>
      <c r="Q12" s="13"/>
      <c r="R12" s="10">
        <v>-1.0066773582389617</v>
      </c>
      <c r="S12" s="11">
        <v>-0.93810586936643969</v>
      </c>
      <c r="T12" s="12">
        <v>-0.97234684182353814</v>
      </c>
      <c r="U12" s="13"/>
      <c r="V12" s="10">
        <v>-0.92315126707712025</v>
      </c>
      <c r="W12" s="11">
        <v>-0.87353503704912039</v>
      </c>
      <c r="X12" s="12">
        <v>-0.89850801280079284</v>
      </c>
      <c r="Y12" s="13"/>
      <c r="Z12" s="10">
        <v>-1.0150860472583132</v>
      </c>
      <c r="AA12" s="11">
        <v>-0.90716031396523533</v>
      </c>
      <c r="AB12" s="12">
        <v>-0.96027265708124088</v>
      </c>
      <c r="AC12" s="13"/>
      <c r="AD12" s="10">
        <v>-0.87450042882312029</v>
      </c>
      <c r="AE12" s="11">
        <v>-0.82539225007655914</v>
      </c>
      <c r="AF12" s="12">
        <v>-0.85012871104987098</v>
      </c>
      <c r="AG12" s="13"/>
      <c r="AH12" s="10">
        <v>-1.2020971767372759</v>
      </c>
      <c r="AI12" s="11">
        <v>-1.0804886999840153</v>
      </c>
      <c r="AJ12" s="12">
        <v>-1.1397670872678705</v>
      </c>
      <c r="AK12" s="13"/>
    </row>
    <row r="13" spans="1:37" ht="13.8" x14ac:dyDescent="0.25">
      <c r="A13" s="2">
        <v>25</v>
      </c>
      <c r="B13" s="10">
        <v>-0.86920613351053932</v>
      </c>
      <c r="C13" s="11">
        <v>-0.83063229603261535</v>
      </c>
      <c r="D13" s="12">
        <v>-0.85013265027358209</v>
      </c>
      <c r="E13" s="13"/>
      <c r="F13" s="10">
        <v>-0.85624317643298331</v>
      </c>
      <c r="G13" s="11">
        <v>-0.78407707634718316</v>
      </c>
      <c r="H13" s="12">
        <v>-0.82016153698599226</v>
      </c>
      <c r="I13" s="13"/>
      <c r="J13" s="10">
        <v>-0.92677804853722057</v>
      </c>
      <c r="K13" s="11">
        <v>-0.85645781794940679</v>
      </c>
      <c r="L13" s="12">
        <v>-0.89159541950333177</v>
      </c>
      <c r="M13" s="13"/>
      <c r="N13" s="10">
        <v>-0.94848666240099744</v>
      </c>
      <c r="O13" s="11">
        <v>-0.88412226434856211</v>
      </c>
      <c r="P13" s="12">
        <v>-0.91633966970304337</v>
      </c>
      <c r="Q13" s="13"/>
      <c r="R13" s="10">
        <v>-0.95393531432576628</v>
      </c>
      <c r="S13" s="11">
        <v>-0.88761866143951096</v>
      </c>
      <c r="T13" s="12">
        <v>-0.92078751270821424</v>
      </c>
      <c r="U13" s="13"/>
      <c r="V13" s="10">
        <v>-0.87349840309173321</v>
      </c>
      <c r="W13" s="11">
        <v>-0.83129607238447223</v>
      </c>
      <c r="X13" s="12">
        <v>-0.85260372725110611</v>
      </c>
      <c r="Y13" s="13"/>
      <c r="Z13" s="10">
        <v>-0.9647131081248087</v>
      </c>
      <c r="AA13" s="11">
        <v>-0.86333072661403887</v>
      </c>
      <c r="AB13" s="12">
        <v>-0.91340188916165455</v>
      </c>
      <c r="AC13" s="13"/>
      <c r="AD13" s="10">
        <v>-0.85199651738132753</v>
      </c>
      <c r="AE13" s="11">
        <v>-0.80007848789024438</v>
      </c>
      <c r="AF13" s="12">
        <v>-0.82621367305749993</v>
      </c>
      <c r="AG13" s="13"/>
      <c r="AH13" s="10">
        <v>-1.1288734881539861</v>
      </c>
      <c r="AI13" s="11">
        <v>-1.0091545452278041</v>
      </c>
      <c r="AJ13" s="12">
        <v>-1.0676500016116774</v>
      </c>
      <c r="AK13" s="13"/>
    </row>
    <row r="14" spans="1:37" ht="13.8" x14ac:dyDescent="0.25">
      <c r="A14" s="2">
        <v>30</v>
      </c>
      <c r="B14" s="10">
        <v>-0.80208481424719991</v>
      </c>
      <c r="C14" s="11">
        <v>-0.77200338720246053</v>
      </c>
      <c r="D14" s="12">
        <v>-0.78726242697886062</v>
      </c>
      <c r="E14" s="13"/>
      <c r="F14" s="10">
        <v>-0.81703262635799434</v>
      </c>
      <c r="G14" s="11">
        <v>-0.74309524259921955</v>
      </c>
      <c r="H14" s="12">
        <v>-0.78007392332133241</v>
      </c>
      <c r="I14" s="13"/>
      <c r="J14" s="10">
        <v>-0.87581973706212179</v>
      </c>
      <c r="K14" s="11">
        <v>-0.80848565605858569</v>
      </c>
      <c r="L14" s="12">
        <v>-0.84219551169775642</v>
      </c>
      <c r="M14" s="13"/>
      <c r="N14" s="10">
        <v>-0.88773038554625583</v>
      </c>
      <c r="O14" s="11">
        <v>-0.82136257147134217</v>
      </c>
      <c r="P14" s="12">
        <v>-0.85459253778955946</v>
      </c>
      <c r="Q14" s="13"/>
      <c r="R14" s="10">
        <v>-0.89866730377103976</v>
      </c>
      <c r="S14" s="11">
        <v>-0.83222308793731981</v>
      </c>
      <c r="T14" s="12">
        <v>-0.86548423243967132</v>
      </c>
      <c r="U14" s="13"/>
      <c r="V14" s="10">
        <v>-0.82033636123203002</v>
      </c>
      <c r="W14" s="11">
        <v>-0.78283972989421957</v>
      </c>
      <c r="X14" s="12">
        <v>-0.80181167051167068</v>
      </c>
      <c r="Y14" s="13"/>
      <c r="Z14" s="10">
        <v>-0.90619214535438797</v>
      </c>
      <c r="AA14" s="11">
        <v>-0.8133994064171739</v>
      </c>
      <c r="AB14" s="12">
        <v>-0.85942988943351351</v>
      </c>
      <c r="AC14" s="13"/>
      <c r="AD14" s="10">
        <v>-0.82525148937465609</v>
      </c>
      <c r="AE14" s="11">
        <v>-0.77265085642340681</v>
      </c>
      <c r="AF14" s="12">
        <v>-0.79913387266610292</v>
      </c>
      <c r="AG14" s="13"/>
      <c r="AH14" s="10">
        <v>-1.0542887641476515</v>
      </c>
      <c r="AI14" s="11">
        <v>-0.92980046902338365</v>
      </c>
      <c r="AJ14" s="12">
        <v>-0.99062910462860476</v>
      </c>
      <c r="AK14" s="13"/>
    </row>
    <row r="15" spans="1:37" ht="13.8" x14ac:dyDescent="0.25">
      <c r="A15" s="2">
        <v>35</v>
      </c>
      <c r="B15" s="10">
        <v>-0.73732351213430469</v>
      </c>
      <c r="C15" s="11">
        <v>-0.71174620737879146</v>
      </c>
      <c r="D15" s="12">
        <v>-0.72474545944961821</v>
      </c>
      <c r="E15" s="13"/>
      <c r="F15" s="10">
        <v>-0.77189439731086973</v>
      </c>
      <c r="G15" s="11">
        <v>-0.70212800843649648</v>
      </c>
      <c r="H15" s="12">
        <v>-0.73709896740170688</v>
      </c>
      <c r="I15" s="13"/>
      <c r="J15" s="10">
        <v>-0.82474303239272606</v>
      </c>
      <c r="K15" s="11">
        <v>-0.75720799673579831</v>
      </c>
      <c r="L15" s="12">
        <v>-0.79104803230330434</v>
      </c>
      <c r="M15" s="13"/>
      <c r="N15" s="10">
        <v>-0.8259381775987652</v>
      </c>
      <c r="O15" s="11">
        <v>-0.75642199010305966</v>
      </c>
      <c r="P15" s="12">
        <v>-0.79123192333414838</v>
      </c>
      <c r="Q15" s="13"/>
      <c r="R15" s="10">
        <v>-0.83892900424050876</v>
      </c>
      <c r="S15" s="11">
        <v>-0.77161320305701064</v>
      </c>
      <c r="T15" s="12">
        <v>-0.80533674084601292</v>
      </c>
      <c r="U15" s="13"/>
      <c r="V15" s="10">
        <v>-0.76499734025632826</v>
      </c>
      <c r="W15" s="11">
        <v>-0.72849764284715601</v>
      </c>
      <c r="X15" s="12">
        <v>-0.74698178006061289</v>
      </c>
      <c r="Y15" s="13"/>
      <c r="Z15" s="10">
        <v>-0.83923693872373062</v>
      </c>
      <c r="AA15" s="11">
        <v>-0.75721715673773493</v>
      </c>
      <c r="AB15" s="12">
        <v>-0.79811278644829187</v>
      </c>
      <c r="AC15" s="13"/>
      <c r="AD15" s="10">
        <v>-0.79365981762532156</v>
      </c>
      <c r="AE15" s="11">
        <v>-0.74049729279719156</v>
      </c>
      <c r="AF15" s="12">
        <v>-0.76727112704576261</v>
      </c>
      <c r="AG15" s="13"/>
      <c r="AH15" s="10">
        <v>-0.97569648537959053</v>
      </c>
      <c r="AI15" s="11">
        <v>-0.84833379009184517</v>
      </c>
      <c r="AJ15" s="12">
        <v>-0.91064427322153885</v>
      </c>
      <c r="AK15" s="13"/>
    </row>
    <row r="16" spans="1:37" ht="13.8" x14ac:dyDescent="0.25">
      <c r="A16" s="2">
        <v>40</v>
      </c>
      <c r="B16" s="10">
        <v>-0.67218441284437103</v>
      </c>
      <c r="C16" s="11">
        <v>-0.6489531581506035</v>
      </c>
      <c r="D16" s="12">
        <v>-0.66077403595339856</v>
      </c>
      <c r="E16" s="13"/>
      <c r="F16" s="10">
        <v>-0.72231250461550289</v>
      </c>
      <c r="G16" s="11">
        <v>-0.65777314927556685</v>
      </c>
      <c r="H16" s="12">
        <v>-0.69020740216054988</v>
      </c>
      <c r="I16" s="13"/>
      <c r="J16" s="10">
        <v>-0.76681316903129526</v>
      </c>
      <c r="K16" s="11">
        <v>-0.70143650532592283</v>
      </c>
      <c r="L16" s="12">
        <v>-0.73425391825061403</v>
      </c>
      <c r="M16" s="13"/>
      <c r="N16" s="10">
        <v>-0.75696780176204026</v>
      </c>
      <c r="O16" s="11">
        <v>-0.68862800696556059</v>
      </c>
      <c r="P16" s="12">
        <v>-0.72290929940989257</v>
      </c>
      <c r="Q16" s="13"/>
      <c r="R16" s="10">
        <v>-0.76900214861344063</v>
      </c>
      <c r="S16" s="11">
        <v>-0.70536613769800149</v>
      </c>
      <c r="T16" s="12">
        <v>-0.73732521540819207</v>
      </c>
      <c r="U16" s="13"/>
      <c r="V16" s="10">
        <v>-0.70183279550258593</v>
      </c>
      <c r="W16" s="11">
        <v>-0.66699966992332982</v>
      </c>
      <c r="X16" s="12">
        <v>-0.68466078405407993</v>
      </c>
      <c r="Y16" s="13"/>
      <c r="Z16" s="10">
        <v>-0.76234390192874779</v>
      </c>
      <c r="AA16" s="11">
        <v>-0.69395419478897202</v>
      </c>
      <c r="AB16" s="12">
        <v>-0.72825614907823566</v>
      </c>
      <c r="AC16" s="13"/>
      <c r="AD16" s="10">
        <v>-0.75164519039577127</v>
      </c>
      <c r="AE16" s="11">
        <v>-0.70235976813420853</v>
      </c>
      <c r="AF16" s="12">
        <v>-0.72722638667575878</v>
      </c>
      <c r="AG16" s="13"/>
      <c r="AH16" s="10">
        <v>-0.88249335126163675</v>
      </c>
      <c r="AI16" s="11">
        <v>-0.75990349121858303</v>
      </c>
      <c r="AJ16" s="12">
        <v>-0.82015811297739749</v>
      </c>
      <c r="AK16" s="13"/>
    </row>
    <row r="17" spans="1:37" ht="13.8" x14ac:dyDescent="0.25">
      <c r="A17" s="2">
        <v>45</v>
      </c>
      <c r="B17" s="10">
        <v>-0.6004320886314537</v>
      </c>
      <c r="C17" s="11">
        <v>-0.58010435644994485</v>
      </c>
      <c r="D17" s="12">
        <v>-0.5904613819796557</v>
      </c>
      <c r="E17" s="13"/>
      <c r="F17" s="10">
        <v>-0.66038885146608195</v>
      </c>
      <c r="G17" s="11">
        <v>-0.60809129187599065</v>
      </c>
      <c r="H17" s="12">
        <v>-0.63449440257961387</v>
      </c>
      <c r="I17" s="13"/>
      <c r="J17" s="10">
        <v>-0.69542221623109723</v>
      </c>
      <c r="K17" s="11">
        <v>-0.64063233149904941</v>
      </c>
      <c r="L17" s="12">
        <v>-0.66825754255920489</v>
      </c>
      <c r="M17" s="13"/>
      <c r="N17" s="10">
        <v>-0.67555110779524841</v>
      </c>
      <c r="O17" s="11">
        <v>-0.61631192568392912</v>
      </c>
      <c r="P17" s="12">
        <v>-0.6461549890735192</v>
      </c>
      <c r="Q17" s="13"/>
      <c r="R17" s="10">
        <v>-0.68452755415039701</v>
      </c>
      <c r="S17" s="11">
        <v>-0.63225842771700302</v>
      </c>
      <c r="T17" s="12">
        <v>-0.65863624320988357</v>
      </c>
      <c r="U17" s="13"/>
      <c r="V17" s="10">
        <v>-0.62880773360974529</v>
      </c>
      <c r="W17" s="11">
        <v>-0.60046026168439803</v>
      </c>
      <c r="X17" s="12">
        <v>-0.61486976875483901</v>
      </c>
      <c r="Y17" s="13"/>
      <c r="Z17" s="10">
        <v>-0.6711970968607226</v>
      </c>
      <c r="AA17" s="11">
        <v>-0.6221649719644059</v>
      </c>
      <c r="AB17" s="12">
        <v>-0.64693684203124879</v>
      </c>
      <c r="AC17" s="13"/>
      <c r="AD17" s="10">
        <v>-0.69326994243107731</v>
      </c>
      <c r="AE17" s="11">
        <v>-0.65475747939209794</v>
      </c>
      <c r="AF17" s="12">
        <v>-0.67426555172973057</v>
      </c>
      <c r="AG17" s="13"/>
      <c r="AH17" s="10">
        <v>-0.76613627751817992</v>
      </c>
      <c r="AI17" s="11">
        <v>-0.66328540643333778</v>
      </c>
      <c r="AJ17" s="12">
        <v>-0.71434382020737908</v>
      </c>
      <c r="AK17" s="13"/>
    </row>
    <row r="18" spans="1:37" ht="13.8" x14ac:dyDescent="0.25">
      <c r="A18" s="2">
        <v>50</v>
      </c>
      <c r="B18" s="10">
        <v>-0.52059834010621253</v>
      </c>
      <c r="C18" s="11">
        <v>-0.50864167857923615</v>
      </c>
      <c r="D18" s="12">
        <v>-0.51474890543256313</v>
      </c>
      <c r="E18" s="13"/>
      <c r="F18" s="10">
        <v>-0.58383201720449152</v>
      </c>
      <c r="G18" s="11">
        <v>-0.55207839286799509</v>
      </c>
      <c r="H18" s="12">
        <v>-0.56821295557201257</v>
      </c>
      <c r="I18" s="13"/>
      <c r="J18" s="10">
        <v>-0.60294976503765141</v>
      </c>
      <c r="K18" s="11">
        <v>-0.56974874560225386</v>
      </c>
      <c r="L18" s="12">
        <v>-0.58660888869906025</v>
      </c>
      <c r="M18" s="13"/>
      <c r="N18" s="10">
        <v>-0.57720150892943201</v>
      </c>
      <c r="O18" s="11">
        <v>-0.53540369879947558</v>
      </c>
      <c r="P18" s="12">
        <v>-0.55659173180953114</v>
      </c>
      <c r="Q18" s="13"/>
      <c r="R18" s="10">
        <v>-0.58094867734309374</v>
      </c>
      <c r="S18" s="11">
        <v>-0.54716064042354773</v>
      </c>
      <c r="T18" s="12">
        <v>-0.56432091512237914</v>
      </c>
      <c r="U18" s="13"/>
      <c r="V18" s="10">
        <v>-0.54108062841558313</v>
      </c>
      <c r="W18" s="11">
        <v>-0.52475683123313599</v>
      </c>
      <c r="X18" s="12">
        <v>-0.53308533086731669</v>
      </c>
      <c r="Y18" s="13"/>
      <c r="Z18" s="10">
        <v>-0.56384767366345356</v>
      </c>
      <c r="AA18" s="11">
        <v>-0.53845646658316093</v>
      </c>
      <c r="AB18" s="12">
        <v>-0.55138093446046721</v>
      </c>
      <c r="AC18" s="13"/>
      <c r="AD18" s="10">
        <v>-0.61220227452864118</v>
      </c>
      <c r="AE18" s="11">
        <v>-0.59318271250818688</v>
      </c>
      <c r="AF18" s="12">
        <v>-0.60287571665257278</v>
      </c>
      <c r="AG18" s="13"/>
      <c r="AH18" s="10">
        <v>-0.62670947651035669</v>
      </c>
      <c r="AI18" s="11">
        <v>-0.55100258597708962</v>
      </c>
      <c r="AJ18" s="12">
        <v>-0.58902155074061435</v>
      </c>
      <c r="AK18" s="13"/>
    </row>
    <row r="19" spans="1:37" ht="13.8" x14ac:dyDescent="0.25">
      <c r="A19" s="2">
        <v>55</v>
      </c>
      <c r="B19" s="10">
        <v>-0.4210143479136163</v>
      </c>
      <c r="C19" s="11">
        <v>-0.42279162488953242</v>
      </c>
      <c r="D19" s="12">
        <v>-0.42188099777551347</v>
      </c>
      <c r="E19" s="13"/>
      <c r="F19" s="10">
        <v>-0.48460666195853785</v>
      </c>
      <c r="G19" s="11">
        <v>-0.48008226256731529</v>
      </c>
      <c r="H19" s="12">
        <v>-0.48239734581505644</v>
      </c>
      <c r="I19" s="13"/>
      <c r="J19" s="10">
        <v>-0.48163530200651361</v>
      </c>
      <c r="K19" s="11">
        <v>-0.48057184541702924</v>
      </c>
      <c r="L19" s="12">
        <v>-0.48111641634940366</v>
      </c>
      <c r="M19" s="13"/>
      <c r="N19" s="10">
        <v>-0.45582055810755873</v>
      </c>
      <c r="O19" s="11">
        <v>-0.43713086722588262</v>
      </c>
      <c r="P19" s="12">
        <v>-0.44666706004400114</v>
      </c>
      <c r="Q19" s="13"/>
      <c r="R19" s="10">
        <v>-0.45326106749569572</v>
      </c>
      <c r="S19" s="11">
        <v>-0.44323137082095437</v>
      </c>
      <c r="T19" s="12">
        <v>-0.44835796349979135</v>
      </c>
      <c r="U19" s="13"/>
      <c r="V19" s="10">
        <v>-0.43585768714556955</v>
      </c>
      <c r="W19" s="11">
        <v>-0.43556495327993272</v>
      </c>
      <c r="X19" s="12">
        <v>-0.43571488135780162</v>
      </c>
      <c r="Y19" s="13"/>
      <c r="Z19" s="10">
        <v>-0.43703161561582232</v>
      </c>
      <c r="AA19" s="11">
        <v>-0.43953098156102932</v>
      </c>
      <c r="AB19" s="12">
        <v>-0.43825017515829218</v>
      </c>
      <c r="AC19" s="13"/>
      <c r="AD19" s="10">
        <v>-0.49853690313936261</v>
      </c>
      <c r="AE19" s="11">
        <v>-0.50478780240560761</v>
      </c>
      <c r="AF19" s="12">
        <v>-0.50158159850136086</v>
      </c>
      <c r="AG19" s="13"/>
      <c r="AH19" s="10">
        <v>-0.45301757708338514</v>
      </c>
      <c r="AI19" s="11">
        <v>-0.41811474277860278</v>
      </c>
      <c r="AJ19" s="12">
        <v>-0.43586698400272489</v>
      </c>
      <c r="AK19" s="13"/>
    </row>
    <row r="20" spans="1:37" ht="13.8" x14ac:dyDescent="0.25">
      <c r="A20" s="2">
        <v>60</v>
      </c>
      <c r="B20" s="10">
        <v>-0.30682105927662073</v>
      </c>
      <c r="C20" s="11">
        <v>-0.32102416945414897</v>
      </c>
      <c r="D20" s="12">
        <v>-0.31373408763068089</v>
      </c>
      <c r="E20" s="13"/>
      <c r="F20" s="10">
        <v>-0.35965748316759905</v>
      </c>
      <c r="G20" s="11">
        <v>-0.38856998615937</v>
      </c>
      <c r="H20" s="12">
        <v>-0.37368650277193127</v>
      </c>
      <c r="I20" s="13"/>
      <c r="J20" s="10">
        <v>-0.33065389097350745</v>
      </c>
      <c r="K20" s="11">
        <v>-0.36529580454443744</v>
      </c>
      <c r="L20" s="12">
        <v>-0.34745214284807552</v>
      </c>
      <c r="M20" s="13"/>
      <c r="N20" s="10">
        <v>-0.30741359919534794</v>
      </c>
      <c r="O20" s="11">
        <v>-0.3186589915311997</v>
      </c>
      <c r="P20" s="12">
        <v>-0.31288957869926254</v>
      </c>
      <c r="Q20" s="13"/>
      <c r="R20" s="10">
        <v>-0.29911364237741156</v>
      </c>
      <c r="S20" s="11">
        <v>-0.31406112015068494</v>
      </c>
      <c r="T20" s="12">
        <v>-0.30638850188113298</v>
      </c>
      <c r="U20" s="13"/>
      <c r="V20" s="10">
        <v>-0.3058559776781018</v>
      </c>
      <c r="W20" s="11">
        <v>-0.32296636211891477</v>
      </c>
      <c r="X20" s="12">
        <v>-0.31418024480435675</v>
      </c>
      <c r="Y20" s="13"/>
      <c r="Z20" s="10">
        <v>-0.28488959589637947</v>
      </c>
      <c r="AA20" s="11">
        <v>-0.31582521602954122</v>
      </c>
      <c r="AB20" s="12">
        <v>-0.29991045695152813</v>
      </c>
      <c r="AC20" s="13"/>
      <c r="AD20" s="10">
        <v>-0.35346688287997491</v>
      </c>
      <c r="AE20" s="11">
        <v>-0.3819049681108318</v>
      </c>
      <c r="AF20" s="12">
        <v>-0.36726804262929957</v>
      </c>
      <c r="AG20" s="13"/>
      <c r="AH20" s="10">
        <v>-0.2587641628918303</v>
      </c>
      <c r="AI20" s="11">
        <v>-0.26090675497381943</v>
      </c>
      <c r="AJ20" s="12">
        <v>-0.25980903827471019</v>
      </c>
      <c r="AK20" s="13"/>
    </row>
    <row r="21" spans="1:37" ht="13.8" x14ac:dyDescent="0.25">
      <c r="A21" s="2">
        <v>65</v>
      </c>
      <c r="B21" s="10">
        <v>-0.16058401337471645</v>
      </c>
      <c r="C21" s="11">
        <v>-0.18761837894537206</v>
      </c>
      <c r="D21" s="12">
        <v>-0.17374005998585826</v>
      </c>
      <c r="E21" s="13"/>
      <c r="F21" s="10">
        <v>-0.20182323747925654</v>
      </c>
      <c r="G21" s="11">
        <v>-0.25906906882787523</v>
      </c>
      <c r="H21" s="12">
        <v>-0.22956293913585316</v>
      </c>
      <c r="I21" s="13"/>
      <c r="J21" s="10">
        <v>-0.14845486484458761</v>
      </c>
      <c r="K21" s="11">
        <v>-0.21177193364854202</v>
      </c>
      <c r="L21" s="12">
        <v>-0.17916315353789958</v>
      </c>
      <c r="M21" s="13"/>
      <c r="N21" s="10">
        <v>-0.1262176157653675</v>
      </c>
      <c r="O21" s="11">
        <v>-0.16637525937102554</v>
      </c>
      <c r="P21" s="12">
        <v>-0.14574826715382799</v>
      </c>
      <c r="Q21" s="13"/>
      <c r="R21" s="10">
        <v>-0.11199770547699364</v>
      </c>
      <c r="S21" s="11">
        <v>-0.15350037229977559</v>
      </c>
      <c r="T21" s="12">
        <v>-0.13218620461701416</v>
      </c>
      <c r="U21" s="13"/>
      <c r="V21" s="10">
        <v>-0.14915056721420669</v>
      </c>
      <c r="W21" s="11">
        <v>-0.17952558587335707</v>
      </c>
      <c r="X21" s="12">
        <v>-0.16393013963479114</v>
      </c>
      <c r="Y21" s="13"/>
      <c r="Z21" s="10">
        <v>-0.10278554308538844</v>
      </c>
      <c r="AA21" s="11">
        <v>-0.16229796173468999</v>
      </c>
      <c r="AB21" s="12">
        <v>-0.13169968019147368</v>
      </c>
      <c r="AC21" s="13"/>
      <c r="AD21" s="10">
        <v>-0.16663739479840983</v>
      </c>
      <c r="AE21" s="11">
        <v>-0.21583061600481526</v>
      </c>
      <c r="AF21" s="12">
        <v>-0.19052003062784928</v>
      </c>
      <c r="AG21" s="13"/>
      <c r="AH21" s="10">
        <v>-2.1837494033351626E-2</v>
      </c>
      <c r="AI21" s="11">
        <v>-7.7120117150925163E-2</v>
      </c>
      <c r="AJ21" s="12">
        <v>-4.8767068666167784E-2</v>
      </c>
      <c r="AK21" s="13"/>
    </row>
    <row r="22" spans="1:37" ht="13.8" x14ac:dyDescent="0.25">
      <c r="A22" s="2">
        <v>70</v>
      </c>
      <c r="B22" s="10">
        <v>2.5027307118656625E-2</v>
      </c>
      <c r="C22" s="11">
        <v>-1.046876480077538E-2</v>
      </c>
      <c r="D22" s="12">
        <v>7.709813626405328E-3</v>
      </c>
      <c r="E22" s="13"/>
      <c r="F22" s="10">
        <v>-3.6304814007426826E-3</v>
      </c>
      <c r="G22" s="11">
        <v>-7.9751647450351681E-2</v>
      </c>
      <c r="H22" s="12">
        <v>-4.0702942595531359E-2</v>
      </c>
      <c r="I22" s="13"/>
      <c r="J22" s="10">
        <v>7.4350889929898981E-2</v>
      </c>
      <c r="K22" s="11">
        <v>-6.4627267002444113E-3</v>
      </c>
      <c r="L22" s="12">
        <v>3.4873769526037102E-2</v>
      </c>
      <c r="M22" s="13"/>
      <c r="N22" s="10">
        <v>9.2839228680570429E-2</v>
      </c>
      <c r="O22" s="11">
        <v>2.5988333390229997E-2</v>
      </c>
      <c r="P22" s="12">
        <v>6.0162515402529336E-2</v>
      </c>
      <c r="Q22" s="13"/>
      <c r="R22" s="10">
        <v>0.11350757351291885</v>
      </c>
      <c r="S22" s="11">
        <v>4.7202694544060057E-2</v>
      </c>
      <c r="T22" s="12">
        <v>8.1075417880201381E-2</v>
      </c>
      <c r="U22" s="13"/>
      <c r="V22" s="10">
        <v>4.611836045191247E-2</v>
      </c>
      <c r="W22" s="11">
        <v>7.202075246663755E-3</v>
      </c>
      <c r="X22" s="12">
        <v>2.7124663578059205E-2</v>
      </c>
      <c r="Y22" s="13"/>
      <c r="Z22" s="10">
        <v>0.11444277567922119</v>
      </c>
      <c r="AA22" s="11">
        <v>3.6367500165746816E-2</v>
      </c>
      <c r="AB22" s="12">
        <v>7.6242273246387229E-2</v>
      </c>
      <c r="AC22" s="13"/>
      <c r="AD22" s="10">
        <v>5.6272748659626164E-2</v>
      </c>
      <c r="AE22" s="11">
        <v>-7.6532632982141326E-3</v>
      </c>
      <c r="AF22" s="12">
        <v>2.5064263391761831E-2</v>
      </c>
      <c r="AG22" s="13"/>
      <c r="AH22" s="10">
        <v>0.24993365043072727</v>
      </c>
      <c r="AI22" s="11">
        <v>0.13927195890965924</v>
      </c>
      <c r="AJ22" s="12">
        <v>0.19536398968882057</v>
      </c>
      <c r="AK22" s="13"/>
    </row>
    <row r="23" spans="1:37" ht="13.8" x14ac:dyDescent="0.25">
      <c r="A23" s="2">
        <v>75</v>
      </c>
      <c r="B23" s="10">
        <v>0.26393791547571011</v>
      </c>
      <c r="C23" s="11">
        <v>0.22405908607537503</v>
      </c>
      <c r="D23" s="12">
        <v>0.24438970566438267</v>
      </c>
      <c r="E23" s="13"/>
      <c r="F23" s="10">
        <v>0.26264157768898094</v>
      </c>
      <c r="G23" s="11">
        <v>0.17544223413848195</v>
      </c>
      <c r="H23" s="12">
        <v>0.21969545818577857</v>
      </c>
      <c r="I23" s="13"/>
      <c r="J23" s="10">
        <v>0.35688919667802921</v>
      </c>
      <c r="K23" s="11">
        <v>0.26683377074043363</v>
      </c>
      <c r="L23" s="12">
        <v>0.3123474009290419</v>
      </c>
      <c r="M23" s="13"/>
      <c r="N23" s="10">
        <v>0.36516868997048274</v>
      </c>
      <c r="O23" s="11">
        <v>0.27789225951999852</v>
      </c>
      <c r="P23" s="12">
        <v>0.32200302729512403</v>
      </c>
      <c r="Q23" s="13"/>
      <c r="R23" s="10">
        <v>0.38394770191107502</v>
      </c>
      <c r="S23" s="11">
        <v>0.29831344083201977</v>
      </c>
      <c r="T23" s="12">
        <v>0.34157292464829409</v>
      </c>
      <c r="U23" s="13"/>
      <c r="V23" s="10">
        <v>0.28530850886387621</v>
      </c>
      <c r="W23" s="11">
        <v>0.2413079511272811</v>
      </c>
      <c r="X23" s="12">
        <v>0.2637202541418644</v>
      </c>
      <c r="Y23" s="13"/>
      <c r="Z23" s="10">
        <v>0.37244550096136225</v>
      </c>
      <c r="AA23" s="11">
        <v>0.27578879760187452</v>
      </c>
      <c r="AB23" s="12">
        <v>0.3245646981205535</v>
      </c>
      <c r="AC23" s="13"/>
      <c r="AD23" s="10">
        <v>0.32402840228687824</v>
      </c>
      <c r="AE23" s="11">
        <v>0.25287638249270644</v>
      </c>
      <c r="AF23" s="12">
        <v>0.28896487742047061</v>
      </c>
      <c r="AG23" s="13"/>
      <c r="AH23" s="10">
        <v>0.56363936723252317</v>
      </c>
      <c r="AI23" s="11">
        <v>0.39743509586210701</v>
      </c>
      <c r="AJ23" s="12">
        <v>0.4794879449718541</v>
      </c>
      <c r="AK23" s="13"/>
    </row>
    <row r="24" spans="1:37" ht="13.8" x14ac:dyDescent="0.25">
      <c r="A24" s="2">
        <v>80</v>
      </c>
      <c r="B24" s="10">
        <v>0.57732480411031639</v>
      </c>
      <c r="C24" s="11">
        <v>0.53050000260347951</v>
      </c>
      <c r="D24" s="12">
        <v>0.5542075593189103</v>
      </c>
      <c r="E24" s="13"/>
      <c r="F24" s="10">
        <v>0.63094192216713241</v>
      </c>
      <c r="G24" s="11">
        <v>0.52941084062316079</v>
      </c>
      <c r="H24" s="12">
        <v>0.58006843196258251</v>
      </c>
      <c r="I24" s="13"/>
      <c r="J24" s="10">
        <v>0.72453107950166995</v>
      </c>
      <c r="K24" s="11">
        <v>0.63032567098022951</v>
      </c>
      <c r="L24" s="12">
        <v>0.67726953010875401</v>
      </c>
      <c r="M24" s="13"/>
      <c r="N24" s="10">
        <v>0.71611699723844735</v>
      </c>
      <c r="O24" s="11">
        <v>0.60865330973735543</v>
      </c>
      <c r="P24" s="12">
        <v>0.66202299315788493</v>
      </c>
      <c r="Q24" s="13"/>
      <c r="R24" s="10">
        <v>0.71024327752276806</v>
      </c>
      <c r="S24" s="11">
        <v>0.61317544977380356</v>
      </c>
      <c r="T24" s="12">
        <v>0.6615291707175992</v>
      </c>
      <c r="U24" s="13"/>
      <c r="V24" s="10">
        <v>0.57891018939849992</v>
      </c>
      <c r="W24" s="11">
        <v>0.52813709495069316</v>
      </c>
      <c r="X24" s="12">
        <v>0.5538186517944591</v>
      </c>
      <c r="Y24" s="13"/>
      <c r="Z24" s="10">
        <v>0.68106840439639504</v>
      </c>
      <c r="AA24" s="11">
        <v>0.568574822084425</v>
      </c>
      <c r="AB24" s="12">
        <v>0.62444124829308445</v>
      </c>
      <c r="AC24" s="13"/>
      <c r="AD24" s="10">
        <v>0.63806965181021802</v>
      </c>
      <c r="AE24" s="11">
        <v>0.57744259634528783</v>
      </c>
      <c r="AF24" s="12">
        <v>0.60799710332328083</v>
      </c>
      <c r="AG24" s="13"/>
      <c r="AH24" s="10">
        <v>0.93261342842495298</v>
      </c>
      <c r="AI24" s="11">
        <v>0.71179936168165503</v>
      </c>
      <c r="AJ24" s="12">
        <v>0.81670132682028751</v>
      </c>
      <c r="AK24" s="13"/>
    </row>
    <row r="25" spans="1:37" ht="13.8" x14ac:dyDescent="0.25">
      <c r="A25" s="2">
        <v>85</v>
      </c>
      <c r="B25" s="10">
        <v>1.0013626443891026</v>
      </c>
      <c r="C25" s="11">
        <v>0.94458953171090765</v>
      </c>
      <c r="D25" s="12">
        <v>0.97306427262294348</v>
      </c>
      <c r="E25" s="13"/>
      <c r="F25" s="10">
        <v>1.1510053247399854</v>
      </c>
      <c r="G25" s="11">
        <v>1.0331091244568076</v>
      </c>
      <c r="H25" s="12">
        <v>1.0907265436318963</v>
      </c>
      <c r="I25" s="13"/>
      <c r="J25" s="10">
        <v>1.2272198084146826</v>
      </c>
      <c r="K25" s="11">
        <v>1.1331829930730626</v>
      </c>
      <c r="L25" s="12">
        <v>1.17951998038618</v>
      </c>
      <c r="M25" s="13"/>
      <c r="N25" s="10">
        <v>1.1877303063916866</v>
      </c>
      <c r="O25" s="11">
        <v>1.0566921142266263</v>
      </c>
      <c r="P25" s="12">
        <v>1.1203444618292409</v>
      </c>
      <c r="Q25" s="13"/>
      <c r="R25" s="10">
        <v>1.1175905321542541</v>
      </c>
      <c r="S25" s="11">
        <v>1.0181822931175846</v>
      </c>
      <c r="T25" s="12">
        <v>1.0671518205022332</v>
      </c>
      <c r="U25" s="13"/>
      <c r="V25" s="10">
        <v>0.95691802478674437</v>
      </c>
      <c r="W25" s="11">
        <v>0.90338845527136724</v>
      </c>
      <c r="X25" s="12">
        <v>0.93028278064534198</v>
      </c>
      <c r="Y25" s="13"/>
      <c r="Z25" s="10">
        <v>1.0654391507996388</v>
      </c>
      <c r="AA25" s="11">
        <v>0.93591958653080509</v>
      </c>
      <c r="AB25" s="12">
        <v>0.99906845424021851</v>
      </c>
      <c r="AC25" s="13"/>
      <c r="AD25" s="10">
        <v>1.0115967066036922</v>
      </c>
      <c r="AE25" s="11">
        <v>0.97985813731305149</v>
      </c>
      <c r="AF25" s="12">
        <v>0.99592319278928132</v>
      </c>
      <c r="AG25" s="13"/>
      <c r="AH25" s="10">
        <v>1.3873020233961928</v>
      </c>
      <c r="AI25" s="11">
        <v>1.1223871138412316</v>
      </c>
      <c r="AJ25" s="12">
        <v>1.2432902201858909</v>
      </c>
      <c r="AK25" s="13"/>
    </row>
    <row r="26" spans="1:37" ht="13.8" x14ac:dyDescent="0.25">
      <c r="A26" s="2">
        <v>90</v>
      </c>
      <c r="B26" s="10">
        <v>1.5995786661190043</v>
      </c>
      <c r="C26" s="11">
        <v>1.5089201704184647</v>
      </c>
      <c r="D26" s="12">
        <v>1.5534770161413933</v>
      </c>
      <c r="E26" s="13"/>
      <c r="F26" s="10">
        <v>1.9199083814504203</v>
      </c>
      <c r="G26" s="11">
        <v>1.7550342134891801</v>
      </c>
      <c r="H26" s="12">
        <v>1.8330382583613032</v>
      </c>
      <c r="I26" s="13"/>
      <c r="J26" s="10">
        <v>1.9444642756509376</v>
      </c>
      <c r="K26" s="11">
        <v>1.8372538887871619</v>
      </c>
      <c r="L26" s="12">
        <v>1.8894232371734176</v>
      </c>
      <c r="M26" s="13"/>
      <c r="N26" s="10">
        <v>1.8503663759686619</v>
      </c>
      <c r="O26" s="11">
        <v>1.6713786473155037</v>
      </c>
      <c r="P26" s="12">
        <v>1.7555291627068352</v>
      </c>
      <c r="Q26" s="13"/>
      <c r="R26" s="10">
        <v>1.6611312255959834</v>
      </c>
      <c r="S26" s="11">
        <v>1.555960699402684</v>
      </c>
      <c r="T26" s="12">
        <v>1.6072784104101479</v>
      </c>
      <c r="U26" s="13"/>
      <c r="V26" s="10">
        <v>1.4660516370425709</v>
      </c>
      <c r="W26" s="11">
        <v>1.3934292134435451</v>
      </c>
      <c r="X26" s="12">
        <v>1.4294508836427307</v>
      </c>
      <c r="Y26" s="13"/>
      <c r="Z26" s="10">
        <v>1.5728608460924371</v>
      </c>
      <c r="AA26" s="11">
        <v>1.4118135353768861</v>
      </c>
      <c r="AB26" s="12">
        <v>1.4884552982618866</v>
      </c>
      <c r="AC26" s="13"/>
      <c r="AD26" s="10">
        <v>1.4973998480891659</v>
      </c>
      <c r="AE26" s="11">
        <v>1.5119308955859414</v>
      </c>
      <c r="AF26" s="12">
        <v>1.5044403797269608</v>
      </c>
      <c r="AG26" s="13"/>
      <c r="AH26" s="10">
        <v>1.9829172400953288</v>
      </c>
      <c r="AI26" s="11">
        <v>1.6587362883295642</v>
      </c>
      <c r="AJ26" s="12">
        <v>1.8001651283631646</v>
      </c>
      <c r="AK26" s="13"/>
    </row>
    <row r="27" spans="1:37" ht="13.8" x14ac:dyDescent="0.25">
      <c r="A27" s="2">
        <v>95</v>
      </c>
      <c r="B27" s="10">
        <v>2.4479882975042861</v>
      </c>
      <c r="C27" s="11">
        <v>2.2825986925032642</v>
      </c>
      <c r="D27" s="12">
        <v>2.3606082334445309</v>
      </c>
      <c r="E27" s="13"/>
      <c r="F27" s="10">
        <v>3.0235160360355957</v>
      </c>
      <c r="G27" s="11">
        <v>2.7664101061737294</v>
      </c>
      <c r="H27" s="12">
        <v>2.8817939625130236</v>
      </c>
      <c r="I27" s="13"/>
      <c r="J27" s="10">
        <v>2.9528697751834314</v>
      </c>
      <c r="K27" s="11">
        <v>2.8057042054436336</v>
      </c>
      <c r="L27" s="12">
        <v>2.8757110787644184</v>
      </c>
      <c r="M27" s="13"/>
      <c r="N27" s="10">
        <v>2.7783838252094868</v>
      </c>
      <c r="O27" s="11">
        <v>2.5127936410983334</v>
      </c>
      <c r="P27" s="12">
        <v>2.6315083108808968</v>
      </c>
      <c r="Q27" s="13"/>
      <c r="R27" s="10">
        <v>2.4025890939540435</v>
      </c>
      <c r="S27" s="11">
        <v>2.2784690613242318</v>
      </c>
      <c r="T27" s="12">
        <v>2.3382664193536713</v>
      </c>
      <c r="U27" s="13"/>
      <c r="V27" s="10">
        <v>2.1705941555954427</v>
      </c>
      <c r="W27" s="11">
        <v>2.0518339123277936</v>
      </c>
      <c r="X27" s="12">
        <v>2.1092417997894026</v>
      </c>
      <c r="Y27" s="13"/>
      <c r="Z27" s="10">
        <v>2.2636881594986953</v>
      </c>
      <c r="AA27" s="11">
        <v>2.0449315382198519</v>
      </c>
      <c r="AB27" s="12">
        <v>2.1453899602604221</v>
      </c>
      <c r="AC27" s="13"/>
      <c r="AD27" s="10">
        <v>2.1515211271778822</v>
      </c>
      <c r="AE27" s="11">
        <v>2.2227050179566477</v>
      </c>
      <c r="AF27" s="12">
        <v>2.1850128931335115</v>
      </c>
      <c r="AG27" s="13"/>
      <c r="AH27" s="10">
        <v>2.7780037991877462</v>
      </c>
      <c r="AI27" s="11">
        <v>2.3739396457502853</v>
      </c>
      <c r="AJ27" s="12">
        <v>2.5413792658847507</v>
      </c>
      <c r="AK27" s="13"/>
    </row>
    <row r="28" spans="1:37" ht="13.8" x14ac:dyDescent="0.25">
      <c r="A28" s="2">
        <v>100</v>
      </c>
      <c r="B28" s="10">
        <v>3.6195103885149451</v>
      </c>
      <c r="C28" s="11">
        <v>3.3282687845598686</v>
      </c>
      <c r="D28" s="12">
        <v>3.456484338639886</v>
      </c>
      <c r="E28" s="13"/>
      <c r="F28" s="10">
        <v>4.4228372398157294</v>
      </c>
      <c r="G28" s="11">
        <v>4.0684000395331683</v>
      </c>
      <c r="H28" s="12">
        <v>4.2190286743239609</v>
      </c>
      <c r="I28" s="13"/>
      <c r="J28" s="10">
        <v>4.2676246503506912</v>
      </c>
      <c r="K28" s="11">
        <v>4.0533982418447554</v>
      </c>
      <c r="L28" s="12">
        <v>4.1517103879787287</v>
      </c>
      <c r="M28" s="13"/>
      <c r="N28" s="10">
        <v>4.0180571041339634</v>
      </c>
      <c r="O28" s="11">
        <v>3.6298603411790711</v>
      </c>
      <c r="P28" s="12">
        <v>3.7917600669383469</v>
      </c>
      <c r="Q28" s="13"/>
      <c r="R28" s="10">
        <v>3.4241427806338751</v>
      </c>
      <c r="S28" s="11">
        <v>3.2503739570229526</v>
      </c>
      <c r="T28" s="12">
        <v>3.3318686402614652</v>
      </c>
      <c r="U28" s="13"/>
      <c r="V28" s="10">
        <v>3.1605254622611385</v>
      </c>
      <c r="W28" s="11">
        <v>2.9498761884268374</v>
      </c>
      <c r="X28" s="12">
        <v>3.0467756197013873</v>
      </c>
      <c r="Y28" s="13"/>
      <c r="Z28" s="10">
        <v>3.224813560044228</v>
      </c>
      <c r="AA28" s="11">
        <v>2.9065512735809693</v>
      </c>
      <c r="AB28" s="12">
        <v>3.0446542971633361</v>
      </c>
      <c r="AC28" s="13"/>
      <c r="AD28" s="10">
        <v>3.0633752552417657</v>
      </c>
      <c r="AE28" s="11">
        <v>3.1790244114593182</v>
      </c>
      <c r="AF28" s="12">
        <v>3.116474355270324</v>
      </c>
      <c r="AG28" s="13"/>
      <c r="AH28" s="10">
        <v>3.8418888152234878</v>
      </c>
      <c r="AI28" s="11">
        <v>3.329938764586621</v>
      </c>
      <c r="AJ28" s="12">
        <v>3.528948032570935</v>
      </c>
      <c r="AK28" s="13"/>
    </row>
    <row r="29" spans="1:37" ht="13.8" x14ac:dyDescent="0.25">
      <c r="A29" s="2">
        <v>105</v>
      </c>
      <c r="B29" s="10">
        <v>5.0022280726060071</v>
      </c>
      <c r="C29" s="11">
        <v>4.625335307588502</v>
      </c>
      <c r="D29" s="12">
        <v>4.7834941730827261</v>
      </c>
      <c r="E29" s="13"/>
      <c r="F29" s="10">
        <v>5.8392025489560355</v>
      </c>
      <c r="G29" s="11">
        <v>5.4932138222799907</v>
      </c>
      <c r="H29" s="12">
        <v>5.6409357989253106</v>
      </c>
      <c r="I29" s="13"/>
      <c r="J29" s="10">
        <v>5.6860533811069152</v>
      </c>
      <c r="K29" s="11">
        <v>5.4593767741634176</v>
      </c>
      <c r="L29" s="12">
        <v>5.5627037680519829</v>
      </c>
      <c r="M29" s="13"/>
      <c r="N29" s="10">
        <v>5.4182862080623648</v>
      </c>
      <c r="O29" s="11">
        <v>4.9719871065152965</v>
      </c>
      <c r="P29" s="12">
        <v>5.1520484155042867</v>
      </c>
      <c r="Q29" s="13"/>
      <c r="R29" s="10">
        <v>4.6756493021633334</v>
      </c>
      <c r="S29" s="11">
        <v>4.4650856991940309</v>
      </c>
      <c r="T29" s="12">
        <v>4.5619035495507454</v>
      </c>
      <c r="U29" s="13"/>
      <c r="V29" s="10">
        <v>4.4016358854285986</v>
      </c>
      <c r="W29" s="11">
        <v>4.0946817863102076</v>
      </c>
      <c r="X29" s="12">
        <v>4.2286173173606212</v>
      </c>
      <c r="Y29" s="13"/>
      <c r="Z29" s="10">
        <v>4.4209170167907139</v>
      </c>
      <c r="AA29" s="11">
        <v>4.0037588569220599</v>
      </c>
      <c r="AB29" s="12">
        <v>4.1748923134161737</v>
      </c>
      <c r="AC29" s="13"/>
      <c r="AD29" s="10">
        <v>4.2067595130805335</v>
      </c>
      <c r="AE29" s="11">
        <v>4.3792280127611418</v>
      </c>
      <c r="AF29" s="12">
        <v>4.2835184032044804</v>
      </c>
      <c r="AG29" s="13"/>
      <c r="AH29" s="10">
        <v>5.1044122809392638</v>
      </c>
      <c r="AI29" s="11">
        <v>4.5147864558363109</v>
      </c>
      <c r="AJ29" s="12">
        <v>4.7338102922351064</v>
      </c>
      <c r="AK29" s="13"/>
    </row>
    <row r="30" spans="1:37" ht="13.8" x14ac:dyDescent="0.25">
      <c r="A30" s="2">
        <v>110</v>
      </c>
      <c r="B30" s="10">
        <v>6.4083104660287038</v>
      </c>
      <c r="C30" s="11">
        <v>6.0294635878198859</v>
      </c>
      <c r="D30" s="12">
        <v>6.1882635113063182</v>
      </c>
      <c r="E30" s="13"/>
      <c r="F30" s="10">
        <v>7.1624878864426957</v>
      </c>
      <c r="G30" s="11">
        <v>6.8602348858808631</v>
      </c>
      <c r="H30" s="12">
        <v>6.992452295212896</v>
      </c>
      <c r="I30" s="13"/>
      <c r="J30" s="10">
        <v>7.0539985211772587</v>
      </c>
      <c r="K30" s="11">
        <v>6.8465315327821061</v>
      </c>
      <c r="L30" s="12">
        <v>6.9420813703407536</v>
      </c>
      <c r="M30" s="13"/>
      <c r="N30" s="10">
        <v>6.8103890080331801</v>
      </c>
      <c r="O30" s="11">
        <v>6.3777236955329677</v>
      </c>
      <c r="P30" s="12">
        <v>6.553642813550776</v>
      </c>
      <c r="Q30" s="13"/>
      <c r="R30" s="10">
        <v>6.0630519318779301</v>
      </c>
      <c r="S30" s="11">
        <v>5.8355283541472565</v>
      </c>
      <c r="T30" s="12">
        <v>5.9391939532354971</v>
      </c>
      <c r="U30" s="13"/>
      <c r="V30" s="10">
        <v>5.7935714767789017</v>
      </c>
      <c r="W30" s="11">
        <v>5.4321150179459448</v>
      </c>
      <c r="X30" s="12">
        <v>5.585112332790378</v>
      </c>
      <c r="Y30" s="13"/>
      <c r="Z30" s="10">
        <v>5.7860791619664145</v>
      </c>
      <c r="AA30" s="11">
        <v>5.3051445992704158</v>
      </c>
      <c r="AB30" s="12">
        <v>5.4953707469325046</v>
      </c>
      <c r="AC30" s="13"/>
      <c r="AD30" s="10">
        <v>5.5416028672080424</v>
      </c>
      <c r="AE30" s="11">
        <v>5.7428898038061096</v>
      </c>
      <c r="AF30" s="12">
        <v>5.6297689009492258</v>
      </c>
      <c r="AG30" s="13"/>
      <c r="AH30" s="10">
        <v>6.4847254484227692</v>
      </c>
      <c r="AI30" s="11">
        <v>5.8638541439062157</v>
      </c>
      <c r="AJ30" s="12">
        <v>6.0903157295331747</v>
      </c>
      <c r="AK30" s="13"/>
    </row>
    <row r="31" spans="1:37" ht="13.8" x14ac:dyDescent="0.25">
      <c r="A31" s="2">
        <v>115</v>
      </c>
      <c r="B31" s="10">
        <v>7.7401445801782973</v>
      </c>
      <c r="C31" s="11">
        <v>7.4043621838051337</v>
      </c>
      <c r="D31" s="12">
        <v>7.5485435423310427</v>
      </c>
      <c r="E31" s="13"/>
      <c r="F31" s="10">
        <v>8.4047966282760491</v>
      </c>
      <c r="G31" s="11">
        <v>8.1430490724903937</v>
      </c>
      <c r="H31" s="12">
        <v>8.2601178556771053</v>
      </c>
      <c r="I31" s="13"/>
      <c r="J31" s="10">
        <v>8.3402091722057712</v>
      </c>
      <c r="K31" s="11">
        <v>8.158572604222341</v>
      </c>
      <c r="L31" s="12">
        <v>8.2433837383424553</v>
      </c>
      <c r="M31" s="13"/>
      <c r="N31" s="10">
        <v>8.1267806246641499</v>
      </c>
      <c r="O31" s="11">
        <v>7.7352809116928398</v>
      </c>
      <c r="P31" s="12">
        <v>7.8982187039480989</v>
      </c>
      <c r="Q31" s="13"/>
      <c r="R31" s="10">
        <v>7.4495278174829691</v>
      </c>
      <c r="S31" s="11">
        <v>7.2279460670572018</v>
      </c>
      <c r="T31" s="12">
        <v>7.3292274207295751</v>
      </c>
      <c r="U31" s="13"/>
      <c r="V31" s="10">
        <v>7.1829327626350974</v>
      </c>
      <c r="W31" s="11">
        <v>6.8290676844274385</v>
      </c>
      <c r="X31" s="12">
        <v>6.9794886274599186</v>
      </c>
      <c r="Y31" s="13"/>
      <c r="Z31" s="10">
        <v>7.1808331182889971</v>
      </c>
      <c r="AA31" s="11">
        <v>6.695043478644175</v>
      </c>
      <c r="AB31" s="12">
        <v>6.8866535531630806</v>
      </c>
      <c r="AC31" s="13"/>
      <c r="AD31" s="10">
        <v>6.9372046366635285</v>
      </c>
      <c r="AE31" s="11">
        <v>7.1367443375319111</v>
      </c>
      <c r="AF31" s="12">
        <v>7.0246899697975094</v>
      </c>
      <c r="AG31" s="13"/>
      <c r="AH31" s="10">
        <v>7.8673624360107643</v>
      </c>
      <c r="AI31" s="11">
        <v>7.255768712324258</v>
      </c>
      <c r="AJ31" s="12">
        <v>7.4800549406871442</v>
      </c>
      <c r="AK31" s="13"/>
    </row>
    <row r="32" spans="1:37" ht="13.8" x14ac:dyDescent="0.25">
      <c r="A32" s="2">
        <v>120</v>
      </c>
      <c r="B32" s="10">
        <v>8.998633836476932</v>
      </c>
      <c r="C32" s="11">
        <v>8.7097965601492593</v>
      </c>
      <c r="D32" s="12">
        <v>8.8370815817631723</v>
      </c>
      <c r="E32" s="13"/>
      <c r="F32" s="10">
        <v>9.596884830444905</v>
      </c>
      <c r="G32" s="11">
        <v>9.3641364252263397</v>
      </c>
      <c r="H32" s="12">
        <v>9.4698842410943218</v>
      </c>
      <c r="I32" s="13"/>
      <c r="J32" s="10">
        <v>9.5649282354801795</v>
      </c>
      <c r="K32" s="11">
        <v>9.4048263831297554</v>
      </c>
      <c r="L32" s="12">
        <v>9.4804360554555807</v>
      </c>
      <c r="M32" s="13"/>
      <c r="N32" s="10">
        <v>9.3754640852178781</v>
      </c>
      <c r="O32" s="11">
        <v>9.0233084607936505</v>
      </c>
      <c r="P32" s="12">
        <v>9.1731458109940789</v>
      </c>
      <c r="Q32" s="13"/>
      <c r="R32" s="10">
        <v>8.7767020576572392</v>
      </c>
      <c r="S32" s="11">
        <v>8.5698166805470297</v>
      </c>
      <c r="T32" s="12">
        <v>8.6651282630148572</v>
      </c>
      <c r="U32" s="13"/>
      <c r="V32" s="10">
        <v>8.5070968475342426</v>
      </c>
      <c r="W32" s="11">
        <v>8.1895997580228492</v>
      </c>
      <c r="X32" s="12">
        <v>8.3273205213875556</v>
      </c>
      <c r="Y32" s="13"/>
      <c r="Z32" s="10">
        <v>8.5263883009818713</v>
      </c>
      <c r="AA32" s="11">
        <v>8.06891632051531</v>
      </c>
      <c r="AB32" s="12">
        <v>8.2523085228183035</v>
      </c>
      <c r="AC32" s="13"/>
      <c r="AD32" s="10">
        <v>8.2989472099897021</v>
      </c>
      <c r="AE32" s="11">
        <v>8.4832662738307949</v>
      </c>
      <c r="AF32" s="12">
        <v>8.3804432700385956</v>
      </c>
      <c r="AG32" s="13"/>
      <c r="AH32" s="10">
        <v>9.1993075204450836</v>
      </c>
      <c r="AI32" s="11">
        <v>8.6107854722502122</v>
      </c>
      <c r="AJ32" s="12">
        <v>8.8295285593073132</v>
      </c>
      <c r="AK32" s="13"/>
    </row>
    <row r="33" spans="1:37" ht="13.8" x14ac:dyDescent="0.25">
      <c r="A33" s="2">
        <v>125</v>
      </c>
      <c r="B33" s="10">
        <v>10.206211781230907</v>
      </c>
      <c r="C33" s="11">
        <v>9.9549502781605241</v>
      </c>
      <c r="D33" s="12">
        <v>10.067971584885445</v>
      </c>
      <c r="E33" s="13"/>
      <c r="F33" s="10">
        <v>10.760446676596219</v>
      </c>
      <c r="G33" s="11">
        <v>10.54671238393993</v>
      </c>
      <c r="H33" s="12">
        <v>10.644819003913035</v>
      </c>
      <c r="I33" s="13"/>
      <c r="J33" s="10">
        <v>10.750501787340323</v>
      </c>
      <c r="K33" s="11">
        <v>10.605996987167217</v>
      </c>
      <c r="L33" s="12">
        <v>10.674800204844884</v>
      </c>
      <c r="M33" s="13"/>
      <c r="N33" s="10">
        <v>10.577747129692867</v>
      </c>
      <c r="O33" s="11">
        <v>10.25567312261008</v>
      </c>
      <c r="P33" s="12">
        <v>10.395025352594091</v>
      </c>
      <c r="Q33" s="13"/>
      <c r="R33" s="10">
        <v>10.042888155273785</v>
      </c>
      <c r="S33" s="11">
        <v>9.850605691773616</v>
      </c>
      <c r="T33" s="12">
        <v>9.9398820014241487</v>
      </c>
      <c r="U33" s="13"/>
      <c r="V33" s="10">
        <v>9.7673060412811648</v>
      </c>
      <c r="W33" s="11">
        <v>9.4886405663929345</v>
      </c>
      <c r="X33" s="12">
        <v>9.6121299354117458</v>
      </c>
      <c r="Y33" s="13"/>
      <c r="Z33" s="10">
        <v>9.8098698363978496</v>
      </c>
      <c r="AA33" s="11">
        <v>9.3870629648137029</v>
      </c>
      <c r="AB33" s="12">
        <v>9.5599396032487789</v>
      </c>
      <c r="AC33" s="13"/>
      <c r="AD33" s="10">
        <v>9.6005425251538803</v>
      </c>
      <c r="AE33" s="11">
        <v>9.7687211838998778</v>
      </c>
      <c r="AF33" s="12">
        <v>9.6755662009968226</v>
      </c>
      <c r="AG33" s="13"/>
      <c r="AH33" s="10">
        <v>10.474913451594412</v>
      </c>
      <c r="AI33" s="11">
        <v>9.9083660253800794</v>
      </c>
      <c r="AJ33" s="12">
        <v>10.121646817374204</v>
      </c>
      <c r="AK33" s="13"/>
    </row>
    <row r="34" spans="1:37" ht="13.8" x14ac:dyDescent="0.25">
      <c r="A34" s="2">
        <v>130</v>
      </c>
      <c r="B34" s="14">
        <v>11.38193011335925</v>
      </c>
      <c r="C34" s="15">
        <v>11.157705461462221</v>
      </c>
      <c r="D34" s="16">
        <v>11.26004932912519</v>
      </c>
      <c r="E34" s="13"/>
      <c r="F34" s="14">
        <v>11.908308165509904</v>
      </c>
      <c r="G34" s="15">
        <v>11.706544809284564</v>
      </c>
      <c r="H34" s="16">
        <v>11.799751271322087</v>
      </c>
      <c r="I34" s="13"/>
      <c r="J34" s="14">
        <v>11.9125488897563</v>
      </c>
      <c r="K34" s="15">
        <v>11.778676791612058</v>
      </c>
      <c r="L34" s="16">
        <v>11.842771267842494</v>
      </c>
      <c r="M34" s="13"/>
      <c r="N34" s="14">
        <v>11.750838102629126</v>
      </c>
      <c r="O34" s="15">
        <v>11.449927176533031</v>
      </c>
      <c r="P34" s="16">
        <v>11.581654892795088</v>
      </c>
      <c r="Q34" s="13"/>
      <c r="R34" s="14">
        <v>11.262597504753886</v>
      </c>
      <c r="S34" s="15">
        <v>11.082091915068762</v>
      </c>
      <c r="T34" s="16">
        <v>11.166425439578708</v>
      </c>
      <c r="U34" s="13"/>
      <c r="V34" s="14">
        <v>10.980627934452526</v>
      </c>
      <c r="W34" s="15">
        <v>10.734085180138562</v>
      </c>
      <c r="X34" s="16">
        <v>10.845268084035592</v>
      </c>
      <c r="Y34" s="13"/>
      <c r="Z34" s="14">
        <v>11.042924868966349</v>
      </c>
      <c r="AA34" s="15">
        <v>10.650155316042701</v>
      </c>
      <c r="AB34" s="16">
        <v>10.813504518532781</v>
      </c>
      <c r="AC34" s="13"/>
      <c r="AD34" s="14">
        <v>10.848763230900655</v>
      </c>
      <c r="AE34" s="15">
        <v>11.003927674646526</v>
      </c>
      <c r="AF34" s="16">
        <v>10.918476756837725</v>
      </c>
      <c r="AG34" s="13"/>
      <c r="AH34" s="14">
        <v>11.704957825128714</v>
      </c>
      <c r="AI34" s="15">
        <v>11.15531482347126</v>
      </c>
      <c r="AJ34" s="16">
        <v>11.364269735429231</v>
      </c>
      <c r="AK34" s="13"/>
    </row>
    <row r="37" spans="1:37" s="18" customFormat="1" ht="13.8" x14ac:dyDescent="0.25">
      <c r="A37" s="1" t="s">
        <v>107</v>
      </c>
      <c r="B37" s="17"/>
      <c r="C37" s="17"/>
      <c r="D37" s="17"/>
      <c r="E37" s="17"/>
      <c r="F37" s="17"/>
      <c r="G37" s="17"/>
      <c r="H37" s="17"/>
      <c r="I37" s="17"/>
      <c r="J37" s="17"/>
      <c r="K37" s="17"/>
      <c r="L37" s="17"/>
      <c r="M37" s="17"/>
      <c r="N37" s="17"/>
      <c r="O37" s="17"/>
      <c r="P37" s="17"/>
    </row>
    <row r="38" spans="1:37" s="18" customFormat="1" ht="13.8" x14ac:dyDescent="0.25">
      <c r="B38" s="2" t="s">
        <v>108</v>
      </c>
      <c r="E38" s="18" t="s">
        <v>109</v>
      </c>
    </row>
    <row r="39" spans="1:37" s="18" customFormat="1" ht="13.8" x14ac:dyDescent="0.25">
      <c r="E39" s="19" t="s">
        <v>4</v>
      </c>
      <c r="N39" s="21" t="s">
        <v>110</v>
      </c>
    </row>
    <row r="40" spans="1:37" s="18" customFormat="1" ht="13.8" x14ac:dyDescent="0.25"/>
    <row r="41" spans="1:37" s="18" customFormat="1" ht="16.2" x14ac:dyDescent="0.35">
      <c r="B41" s="2" t="s">
        <v>111</v>
      </c>
    </row>
    <row r="42" spans="1:37" x14ac:dyDescent="0.25">
      <c r="B42" s="21" t="s">
        <v>112</v>
      </c>
      <c r="E42" s="21" t="s">
        <v>116</v>
      </c>
    </row>
    <row r="43" spans="1:37" ht="5.25" customHeight="1" x14ac:dyDescent="0.25"/>
    <row r="44" spans="1:37" x14ac:dyDescent="0.25">
      <c r="B44" s="21"/>
    </row>
    <row r="45" spans="1:37" x14ac:dyDescent="0.25">
      <c r="B45" s="21" t="s">
        <v>113</v>
      </c>
      <c r="E45" s="21" t="s">
        <v>117</v>
      </c>
    </row>
    <row r="46" spans="1:37" x14ac:dyDescent="0.25">
      <c r="E46" s="19" t="s">
        <v>5</v>
      </c>
      <c r="F46" s="20"/>
    </row>
    <row r="47" spans="1:37" x14ac:dyDescent="0.25">
      <c r="F47" s="21"/>
    </row>
    <row r="48" spans="1:37" ht="13.8" x14ac:dyDescent="0.25">
      <c r="B48" s="2" t="s">
        <v>114</v>
      </c>
    </row>
    <row r="49" spans="1:36" x14ac:dyDescent="0.25">
      <c r="E49" s="21" t="s">
        <v>115</v>
      </c>
    </row>
    <row r="51" spans="1:36" x14ac:dyDescent="0.25">
      <c r="F51" s="21"/>
    </row>
    <row r="55" spans="1:36" x14ac:dyDescent="0.25">
      <c r="A55" s="21"/>
    </row>
    <row r="56" spans="1:36" x14ac:dyDescent="0.25">
      <c r="A56" s="21"/>
    </row>
    <row r="57" spans="1:36" x14ac:dyDescent="0.25">
      <c r="B57" s="21"/>
    </row>
    <row r="58" spans="1:36" x14ac:dyDescent="0.25">
      <c r="B58" s="21"/>
      <c r="C58" s="21"/>
      <c r="D58" s="21"/>
      <c r="F58" s="21"/>
      <c r="G58" s="21"/>
      <c r="H58" s="21"/>
      <c r="J58" s="21"/>
      <c r="K58" s="21"/>
      <c r="L58" s="21"/>
      <c r="N58" s="21"/>
      <c r="O58" s="21"/>
      <c r="P58" s="21"/>
      <c r="R58" s="21"/>
      <c r="S58" s="21"/>
      <c r="T58" s="21"/>
      <c r="V58" s="21"/>
      <c r="W58" s="21"/>
      <c r="X58" s="21"/>
      <c r="Z58" s="21"/>
      <c r="AA58" s="21"/>
      <c r="AB58" s="21"/>
      <c r="AD58" s="21"/>
      <c r="AE58" s="21"/>
      <c r="AF58" s="21"/>
      <c r="AH58" s="21"/>
      <c r="AI58" s="21"/>
      <c r="AJ58" s="21"/>
    </row>
  </sheetData>
  <mergeCells count="9">
    <mergeCell ref="Z2:AB2"/>
    <mergeCell ref="AD2:AF2"/>
    <mergeCell ref="AH2:AJ2"/>
    <mergeCell ref="B2:D2"/>
    <mergeCell ref="F2:H2"/>
    <mergeCell ref="J2:L2"/>
    <mergeCell ref="N2:P2"/>
    <mergeCell ref="R2:T2"/>
    <mergeCell ref="V2:X2"/>
  </mergeCells>
  <phoneticPr fontId="35" type="noConversion"/>
  <hyperlinks>
    <hyperlink ref="E39" r:id="rId1"/>
    <hyperlink ref="E46"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Using Solver</vt:lpstr>
      <vt:lpstr>Splicing</vt:lpstr>
      <vt:lpstr>Brass logit</vt:lpstr>
      <vt:lpstr>Modified logit</vt:lpstr>
      <vt:lpstr>Log quadratic</vt:lpstr>
      <vt:lpstr>Comparison</vt:lpstr>
      <vt:lpstr>Standards</vt:lpstr>
    </vt:vector>
  </TitlesOfParts>
  <Company>London School of Hygiene &amp; Tropical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dc:creator>
  <cp:lastModifiedBy>gudanan</cp:lastModifiedBy>
  <dcterms:created xsi:type="dcterms:W3CDTF">2013-07-09T14:37:43Z</dcterms:created>
  <dcterms:modified xsi:type="dcterms:W3CDTF">2018-07-19T09:18:38Z</dcterms:modified>
</cp:coreProperties>
</file>