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1212" yWindow="36" windowWidth="17400" windowHeight="7932" activeTab="4"/>
  </bookViews>
  <sheets>
    <sheet name="Introduction" sheetId="2" r:id="rId1"/>
    <sheet name="Model data" sheetId="4" r:id="rId2"/>
    <sheet name="Method" sheetId="1" r:id="rId3"/>
    <sheet name="Life expectancies" sheetId="5" r:id="rId4"/>
    <sheet name="Graphs" sheetId="3"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localSheetId="1" hidden="1">#REF!</definedName>
    <definedName name="_Key1" hidden="1">#REF!</definedName>
    <definedName name="_Order1" hidden="1">255</definedName>
    <definedName name="_Sort" localSheetId="3" hidden="1">#REF!</definedName>
    <definedName name="_Sort" localSheetId="1" hidden="1">#REF!</definedName>
    <definedName name="_Sort" hidden="1">#REF!</definedName>
    <definedName name="ALPHAC" localSheetId="3">#REF!</definedName>
    <definedName name="ALPHAC" localSheetId="1">#REF!</definedName>
    <definedName name="ALPHAC">#REF!</definedName>
    <definedName name="ALPHAF" localSheetId="3">#REF!</definedName>
    <definedName name="ALPHAF" localSheetId="1">#REF!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 localSheetId="1">#REF!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localSheetId="1"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 localSheetId="1">#REF!</definedName>
    <definedName name="HALF">#REF!</definedName>
    <definedName name="IMPORT" localSheetId="3">#REF!</definedName>
    <definedName name="IMPORT" localSheetId="1">#REF!</definedName>
    <definedName name="IMPORT">#REF!</definedName>
    <definedName name="INPUT" localSheetId="3">#REF!</definedName>
    <definedName name="INPUT" localSheetId="1">#REF!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 localSheetId="1">#REF!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3" hidden="1">'Life expectancies'!#REF!</definedName>
    <definedName name="solver_adj" localSheetId="2" hidden="1">Method!$M$2</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st" localSheetId="3" hidden="1">1</definedName>
    <definedName name="solver_est" localSheetId="2" hidden="1">1</definedName>
    <definedName name="solver_itr" localSheetId="3" hidden="1">100</definedName>
    <definedName name="solver_itr" localSheetId="2" hidden="1">100</definedName>
    <definedName name="solver_lin" localSheetId="3" hidden="1">2</definedName>
    <definedName name="solver_lin" localSheetId="2" hidden="1">2</definedName>
    <definedName name="solver_neg" localSheetId="3" hidden="1">2</definedName>
    <definedName name="solver_neg" localSheetId="2" hidden="1">2</definedName>
    <definedName name="solver_num" localSheetId="3" hidden="1">0</definedName>
    <definedName name="solver_num" localSheetId="2" hidden="1">0</definedName>
    <definedName name="solver_nwt" localSheetId="3" hidden="1">1</definedName>
    <definedName name="solver_nwt" localSheetId="2" hidden="1">1</definedName>
    <definedName name="solver_opt" localSheetId="3" hidden="1">'Life expectancies'!#REF!</definedName>
    <definedName name="solver_opt" localSheetId="2" hidden="1">Method!$M$3</definedName>
    <definedName name="solver_pre" localSheetId="3" hidden="1">0.000001</definedName>
    <definedName name="solver_pre" localSheetId="2" hidden="1">0.000001</definedName>
    <definedName name="solver_scl" localSheetId="3" hidden="1">2</definedName>
    <definedName name="solver_scl" localSheetId="2" hidden="1">2</definedName>
    <definedName name="solver_sho" localSheetId="3" hidden="1">2</definedName>
    <definedName name="solver_sho" localSheetId="2" hidden="1">2</definedName>
    <definedName name="solver_tim" localSheetId="3" hidden="1">100</definedName>
    <definedName name="solver_tim" localSheetId="2" hidden="1">100</definedName>
    <definedName name="solver_tol" localSheetId="3" hidden="1">0.05</definedName>
    <definedName name="solver_tol" localSheetId="2" hidden="1">0.05</definedName>
    <definedName name="solver_typ" localSheetId="3" hidden="1">2</definedName>
    <definedName name="solver_typ" localSheetId="2" hidden="1">2</definedName>
    <definedName name="solver_val" localSheetId="3" hidden="1">0</definedName>
    <definedName name="solver_val" localSheetId="2" hidden="1">0</definedName>
    <definedName name="TITLE" localSheetId="3">#REF!</definedName>
    <definedName name="TITLE" localSheetId="1">#REF!</definedName>
    <definedName name="TITLE">#REF!</definedName>
    <definedName name="WHICH" localSheetId="3">#REF!</definedName>
    <definedName name="WHICH" localSheetId="1">#REF!</definedName>
    <definedName name="WHICH">#REF!</definedName>
    <definedName name="WHOLE" localSheetId="3">#REF!</definedName>
    <definedName name="WHOLE" localSheetId="1">#REF!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4" l="1"/>
  <c r="AA43" i="5" l="1"/>
  <c r="Z43" i="5"/>
  <c r="Y43" i="5"/>
  <c r="X43" i="5"/>
  <c r="W43" i="5"/>
  <c r="V43" i="5"/>
  <c r="U43" i="5"/>
  <c r="T43" i="5"/>
  <c r="S43" i="5"/>
  <c r="R43" i="5"/>
  <c r="Q43" i="5"/>
  <c r="P43" i="5"/>
  <c r="O43" i="5"/>
  <c r="N43" i="5"/>
  <c r="M43" i="5"/>
  <c r="L43" i="5"/>
  <c r="K43" i="5"/>
  <c r="J43" i="5"/>
  <c r="I43" i="5"/>
  <c r="H43" i="5"/>
  <c r="G43" i="5"/>
  <c r="F43" i="5"/>
  <c r="E43" i="5"/>
  <c r="D43" i="5"/>
  <c r="C43" i="5"/>
  <c r="AA42" i="5"/>
  <c r="Z42" i="5"/>
  <c r="Y42" i="5"/>
  <c r="X42" i="5"/>
  <c r="W42" i="5"/>
  <c r="V42" i="5"/>
  <c r="U42" i="5"/>
  <c r="T42" i="5"/>
  <c r="S42" i="5"/>
  <c r="R42" i="5"/>
  <c r="Q42" i="5"/>
  <c r="P42" i="5"/>
  <c r="O42" i="5"/>
  <c r="N42" i="5"/>
  <c r="M42" i="5"/>
  <c r="L42" i="5"/>
  <c r="K42" i="5"/>
  <c r="J42" i="5"/>
  <c r="I42" i="5"/>
  <c r="H42" i="5"/>
  <c r="G42" i="5"/>
  <c r="F42" i="5"/>
  <c r="E42" i="5"/>
  <c r="D42" i="5"/>
  <c r="C42" i="5"/>
  <c r="AA41" i="5"/>
  <c r="Z41" i="5"/>
  <c r="Y41" i="5"/>
  <c r="X41" i="5"/>
  <c r="W41" i="5"/>
  <c r="V41" i="5"/>
  <c r="U41" i="5"/>
  <c r="T41" i="5"/>
  <c r="S41" i="5"/>
  <c r="R41" i="5"/>
  <c r="Q41" i="5"/>
  <c r="P41" i="5"/>
  <c r="O41" i="5"/>
  <c r="N41" i="5"/>
  <c r="M41" i="5"/>
  <c r="L41" i="5"/>
  <c r="K41" i="5"/>
  <c r="J41" i="5"/>
  <c r="I41" i="5"/>
  <c r="H41" i="5"/>
  <c r="G41" i="5"/>
  <c r="F41" i="5"/>
  <c r="E41" i="5"/>
  <c r="D41" i="5"/>
  <c r="C41" i="5"/>
  <c r="AA40" i="5"/>
  <c r="Z40" i="5"/>
  <c r="Y40" i="5"/>
  <c r="X40" i="5"/>
  <c r="W40" i="5"/>
  <c r="V40" i="5"/>
  <c r="U40" i="5"/>
  <c r="T40" i="5"/>
  <c r="S40" i="5"/>
  <c r="R40" i="5"/>
  <c r="Q40" i="5"/>
  <c r="P40" i="5"/>
  <c r="O40" i="5"/>
  <c r="N40" i="5"/>
  <c r="M40" i="5"/>
  <c r="L40" i="5"/>
  <c r="K40" i="5"/>
  <c r="J40" i="5"/>
  <c r="I40" i="5"/>
  <c r="H40" i="5"/>
  <c r="G40" i="5"/>
  <c r="F40" i="5"/>
  <c r="E40" i="5"/>
  <c r="D40" i="5"/>
  <c r="C40" i="5"/>
  <c r="AA39" i="5"/>
  <c r="Z39" i="5"/>
  <c r="Y39" i="5"/>
  <c r="X39" i="5"/>
  <c r="W39" i="5"/>
  <c r="V39" i="5"/>
  <c r="U39" i="5"/>
  <c r="T39" i="5"/>
  <c r="S39" i="5"/>
  <c r="R39" i="5"/>
  <c r="Q39" i="5"/>
  <c r="P39" i="5"/>
  <c r="O39" i="5"/>
  <c r="N39" i="5"/>
  <c r="M39" i="5"/>
  <c r="L39" i="5"/>
  <c r="K39" i="5"/>
  <c r="J39" i="5"/>
  <c r="I39" i="5"/>
  <c r="H39" i="5"/>
  <c r="G39" i="5"/>
  <c r="F39" i="5"/>
  <c r="E39" i="5"/>
  <c r="D39" i="5"/>
  <c r="C39" i="5"/>
  <c r="P27" i="1" l="1"/>
  <c r="K5" i="5"/>
  <c r="L2" i="1"/>
  <c r="B42" i="4"/>
  <c r="B41" i="4"/>
  <c r="B40" i="4"/>
  <c r="B39" i="4"/>
  <c r="B38" i="4"/>
  <c r="B37" i="4"/>
  <c r="B36" i="4"/>
  <c r="B35" i="4"/>
  <c r="B34" i="4"/>
  <c r="B33" i="4"/>
  <c r="B32" i="4"/>
  <c r="B31" i="4"/>
  <c r="B30" i="4"/>
  <c r="B29" i="4"/>
  <c r="B28" i="4"/>
  <c r="B27" i="4"/>
  <c r="B26" i="4"/>
  <c r="G2" i="1" l="1"/>
  <c r="B29" i="5" l="1"/>
  <c r="G3" i="1" l="1"/>
  <c r="C3" i="1"/>
  <c r="C1" i="1"/>
  <c r="H24" i="5" l="1"/>
  <c r="C9" i="5" l="1"/>
  <c r="C10" i="5"/>
  <c r="C11" i="5"/>
  <c r="C12" i="5"/>
  <c r="C13" i="5"/>
  <c r="C14" i="5"/>
  <c r="C15" i="5"/>
  <c r="C16" i="5"/>
  <c r="C17" i="5"/>
  <c r="C18" i="5"/>
  <c r="C19" i="5"/>
  <c r="C20" i="5"/>
  <c r="C21" i="5"/>
  <c r="C22" i="5"/>
  <c r="C23" i="5"/>
  <c r="C24" i="5"/>
  <c r="C8" i="5"/>
  <c r="C2" i="5"/>
  <c r="C1" i="5"/>
  <c r="R6" i="5"/>
  <c r="Q6" i="5"/>
  <c r="P6" i="5"/>
  <c r="O6" i="5"/>
  <c r="N6" i="5"/>
  <c r="M6" i="5"/>
  <c r="L6" i="5"/>
  <c r="K6" i="5"/>
  <c r="J6" i="5"/>
  <c r="I6" i="5"/>
  <c r="H6" i="5"/>
  <c r="G6" i="5"/>
  <c r="F6" i="5"/>
  <c r="E6" i="5"/>
  <c r="D6" i="5"/>
  <c r="C6" i="5"/>
  <c r="A6" i="5"/>
  <c r="C42" i="4"/>
  <c r="C41" i="4"/>
  <c r="C40" i="4"/>
  <c r="C39" i="4"/>
  <c r="C38" i="4"/>
  <c r="C37" i="4"/>
  <c r="C36" i="4"/>
  <c r="C35" i="4"/>
  <c r="C34" i="4"/>
  <c r="C33" i="4"/>
  <c r="C32" i="4"/>
  <c r="C31" i="4"/>
  <c r="C30" i="4"/>
  <c r="C29" i="4"/>
  <c r="C28" i="4"/>
  <c r="C27" i="4"/>
  <c r="C26" i="4"/>
  <c r="D26" i="4" s="1"/>
  <c r="K8" i="5" s="1"/>
  <c r="C7" i="1"/>
  <c r="D7" i="1"/>
  <c r="E7" i="1"/>
  <c r="F7" i="1"/>
  <c r="D34" i="5" l="1"/>
  <c r="C33" i="5"/>
  <c r="C35" i="5"/>
  <c r="D32" i="5"/>
  <c r="C31" i="5"/>
  <c r="D35" i="5"/>
  <c r="C34" i="5"/>
  <c r="D31" i="5"/>
  <c r="D29" i="5"/>
  <c r="C29" i="5"/>
  <c r="C32" i="5"/>
  <c r="D33" i="5"/>
  <c r="C26" i="5"/>
  <c r="D30" i="4"/>
  <c r="K12" i="5" s="1"/>
  <c r="L12" i="5" s="1"/>
  <c r="D34" i="4"/>
  <c r="K16" i="5" s="1"/>
  <c r="L16" i="5" s="1"/>
  <c r="D27" i="4"/>
  <c r="K9" i="5" s="1"/>
  <c r="L9" i="5" s="1"/>
  <c r="D39" i="4"/>
  <c r="K21" i="5" s="1"/>
  <c r="L21" i="5" s="1"/>
  <c r="D36" i="4"/>
  <c r="K18" i="5" s="1"/>
  <c r="L18" i="5" s="1"/>
  <c r="D40" i="4"/>
  <c r="K22" i="5" s="1"/>
  <c r="L22" i="5" s="1"/>
  <c r="D33" i="4"/>
  <c r="K15" i="5" s="1"/>
  <c r="L15" i="5" s="1"/>
  <c r="D37" i="4"/>
  <c r="K19" i="5" s="1"/>
  <c r="L19" i="5" s="1"/>
  <c r="D28" i="4"/>
  <c r="K10" i="5" s="1"/>
  <c r="L10" i="5" s="1"/>
  <c r="D31" i="4"/>
  <c r="K13" i="5" s="1"/>
  <c r="L13" i="5" s="1"/>
  <c r="D38" i="4"/>
  <c r="K20" i="5" s="1"/>
  <c r="L20" i="5" s="1"/>
  <c r="D41" i="4"/>
  <c r="K23" i="5" s="1"/>
  <c r="L23" i="5" s="1"/>
  <c r="D29" i="4"/>
  <c r="K11" i="5" s="1"/>
  <c r="L11" i="5" s="1"/>
  <c r="D32" i="4"/>
  <c r="K14" i="5" s="1"/>
  <c r="L14" i="5" s="1"/>
  <c r="D35" i="4"/>
  <c r="K17" i="5" s="1"/>
  <c r="L17" i="5" s="1"/>
  <c r="D42" i="4"/>
  <c r="K24" i="5" s="1"/>
  <c r="L24" i="5" s="1"/>
  <c r="K25" i="5" l="1"/>
  <c r="K26" i="5" s="1"/>
  <c r="K27" i="5" s="1"/>
  <c r="L27" i="5" s="1"/>
  <c r="E29" i="5"/>
  <c r="B31" i="5" s="1"/>
  <c r="L26" i="5" l="1"/>
  <c r="L25" i="5"/>
  <c r="B34" i="5"/>
  <c r="B35" i="5"/>
  <c r="B32" i="5"/>
  <c r="B33" i="5"/>
  <c r="B9" i="5" l="1"/>
  <c r="E9" i="5" s="1"/>
  <c r="B13" i="5"/>
  <c r="E13" i="5" s="1"/>
  <c r="B17" i="5"/>
  <c r="E17" i="5" s="1"/>
  <c r="B21" i="5"/>
  <c r="E21" i="5" s="1"/>
  <c r="B10" i="5"/>
  <c r="E10" i="5" s="1"/>
  <c r="B14" i="5"/>
  <c r="E14" i="5" s="1"/>
  <c r="B18" i="5"/>
  <c r="E18" i="5" s="1"/>
  <c r="B22" i="5"/>
  <c r="E22" i="5" s="1"/>
  <c r="B11" i="5"/>
  <c r="E11" i="5" s="1"/>
  <c r="B15" i="5"/>
  <c r="E15" i="5" s="1"/>
  <c r="B19" i="5"/>
  <c r="E19" i="5" s="1"/>
  <c r="B23" i="5"/>
  <c r="E23" i="5" s="1"/>
  <c r="B8" i="5"/>
  <c r="E8" i="5" s="1"/>
  <c r="B12" i="5"/>
  <c r="E12" i="5" s="1"/>
  <c r="B16" i="5"/>
  <c r="E16" i="5" s="1"/>
  <c r="B20" i="5"/>
  <c r="E20" i="5" s="1"/>
  <c r="B24" i="5"/>
  <c r="E24" i="5" s="1"/>
  <c r="E27" i="1" l="1"/>
  <c r="F27" i="1"/>
  <c r="A25" i="1"/>
  <c r="B24" i="1"/>
  <c r="A24" i="1"/>
  <c r="B23" i="1"/>
  <c r="A23" i="1"/>
  <c r="B22" i="1"/>
  <c r="A22" i="1"/>
  <c r="B21" i="1"/>
  <c r="A21" i="1"/>
  <c r="J8" i="1"/>
  <c r="B7" i="1"/>
  <c r="G7" i="1"/>
  <c r="H7" i="1"/>
  <c r="I7" i="1"/>
  <c r="J7" i="1"/>
  <c r="K7" i="1"/>
  <c r="L7" i="1"/>
  <c r="A7" i="1"/>
  <c r="D27" i="1"/>
  <c r="C27" i="1"/>
  <c r="I4" i="1" l="1"/>
  <c r="J23" i="1"/>
  <c r="J16" i="1"/>
  <c r="J12" i="1"/>
  <c r="J19" i="1"/>
  <c r="J17" i="1"/>
  <c r="J15" i="1"/>
  <c r="J13" i="1"/>
  <c r="J11" i="1"/>
  <c r="J9" i="1"/>
  <c r="J18" i="1"/>
  <c r="J14" i="1"/>
  <c r="J10" i="1"/>
  <c r="G8" i="1"/>
  <c r="G18" i="1"/>
  <c r="G10" i="1"/>
  <c r="G14" i="1"/>
  <c r="G20" i="1"/>
  <c r="G16" i="1"/>
  <c r="G12" i="1"/>
  <c r="G27" i="1"/>
  <c r="G19" i="1"/>
  <c r="G17" i="1"/>
  <c r="G15" i="1"/>
  <c r="G13" i="1"/>
  <c r="G11" i="1"/>
  <c r="G9" i="1"/>
  <c r="G22" i="1" l="1"/>
  <c r="G21" i="1"/>
  <c r="J20" i="1"/>
  <c r="G25" i="1"/>
  <c r="H25" i="1" s="1"/>
  <c r="G24" i="1"/>
  <c r="J22" i="1"/>
  <c r="G23" i="1"/>
  <c r="J21" i="1"/>
  <c r="J24" i="1"/>
  <c r="H24" i="1" l="1"/>
  <c r="I24" i="1" s="1"/>
  <c r="L24" i="1" s="1"/>
  <c r="H23" i="1" l="1"/>
  <c r="I23" i="1" s="1"/>
  <c r="H22" i="1" l="1"/>
  <c r="I22" i="1" s="1"/>
  <c r="H21" i="1" l="1"/>
  <c r="I21" i="1" s="1"/>
  <c r="K24" i="1" l="1"/>
  <c r="D23" i="5" l="1"/>
  <c r="D24" i="5"/>
  <c r="L23" i="1"/>
  <c r="K23" i="1"/>
  <c r="D22" i="5" s="1"/>
  <c r="L22" i="1" l="1"/>
  <c r="K22" i="1"/>
  <c r="D21" i="5" s="1"/>
  <c r="H20" i="1"/>
  <c r="I20" i="1" s="1"/>
  <c r="K21" i="1" l="1"/>
  <c r="D20" i="5" s="1"/>
  <c r="L21" i="1"/>
  <c r="H19" i="1"/>
  <c r="H18" i="1" l="1"/>
  <c r="I19" i="1"/>
  <c r="K20" i="1"/>
  <c r="L20" i="1"/>
  <c r="K19" i="1" l="1"/>
  <c r="L19" i="1"/>
  <c r="H17" i="1"/>
  <c r="I18" i="1"/>
  <c r="L18" i="1" l="1"/>
  <c r="K18" i="1"/>
  <c r="H16" i="1"/>
  <c r="I17" i="1"/>
  <c r="K17" i="1" l="1"/>
  <c r="L17" i="1"/>
  <c r="H15" i="1"/>
  <c r="I16" i="1"/>
  <c r="L16" i="1" l="1"/>
  <c r="K16" i="1"/>
  <c r="H14" i="1"/>
  <c r="I15" i="1"/>
  <c r="K15" i="1" l="1"/>
  <c r="L15" i="1"/>
  <c r="H13" i="1"/>
  <c r="I14" i="1"/>
  <c r="L14" i="1" l="1"/>
  <c r="K14" i="1"/>
  <c r="H12" i="1"/>
  <c r="I13" i="1"/>
  <c r="K13" i="1" l="1"/>
  <c r="L13" i="1"/>
  <c r="H11" i="1"/>
  <c r="I12" i="1"/>
  <c r="L12" i="1" l="1"/>
  <c r="K12" i="1"/>
  <c r="H10" i="1"/>
  <c r="I11" i="1"/>
  <c r="K11" i="1" l="1"/>
  <c r="L11" i="1"/>
  <c r="Q28" i="1" s="1"/>
  <c r="H9" i="1"/>
  <c r="I9" i="1" s="1"/>
  <c r="I10" i="1"/>
  <c r="P28" i="1"/>
  <c r="A24" i="5" l="1"/>
  <c r="D9" i="5"/>
  <c r="D11" i="5"/>
  <c r="D15" i="5"/>
  <c r="D19" i="5"/>
  <c r="D12" i="5"/>
  <c r="D16" i="5"/>
  <c r="D13" i="5"/>
  <c r="D17" i="5"/>
  <c r="D10" i="5"/>
  <c r="D14" i="5"/>
  <c r="D18" i="5"/>
  <c r="D8" i="5"/>
  <c r="K9" i="1"/>
  <c r="L9" i="1"/>
  <c r="K10" i="1"/>
  <c r="L10" i="1"/>
  <c r="P30" i="1"/>
  <c r="P29" i="1"/>
  <c r="M3" i="1"/>
  <c r="A22" i="5" l="1"/>
  <c r="A21" i="5"/>
  <c r="F23" i="5"/>
  <c r="H23" i="5" s="1"/>
  <c r="A23" i="5"/>
  <c r="A20" i="5"/>
  <c r="F24" i="5"/>
  <c r="F19" i="5"/>
  <c r="H19" i="5" s="1"/>
  <c r="F17" i="5"/>
  <c r="H17" i="5" s="1"/>
  <c r="F15" i="5"/>
  <c r="H15" i="5" s="1"/>
  <c r="F13" i="5"/>
  <c r="H13" i="5" s="1"/>
  <c r="F11" i="5"/>
  <c r="H11" i="5" s="1"/>
  <c r="F9" i="5"/>
  <c r="H9" i="5" s="1"/>
  <c r="F21" i="5"/>
  <c r="H21" i="5" s="1"/>
  <c r="F20" i="5"/>
  <c r="H20" i="5" s="1"/>
  <c r="F22" i="5"/>
  <c r="H22" i="5" s="1"/>
  <c r="F18" i="5"/>
  <c r="H18" i="5" s="1"/>
  <c r="F16" i="5"/>
  <c r="H16" i="5" s="1"/>
  <c r="F14" i="5"/>
  <c r="H14" i="5" s="1"/>
  <c r="F12" i="5"/>
  <c r="H12" i="5" s="1"/>
  <c r="F10" i="5"/>
  <c r="H10" i="5" s="1"/>
  <c r="D26" i="5" l="1"/>
  <c r="F8" i="5"/>
  <c r="H8" i="5" s="1"/>
  <c r="I9" i="5" s="1"/>
  <c r="J9" i="5" l="1"/>
  <c r="I10" i="5"/>
  <c r="I11" i="5" l="1"/>
  <c r="J10" i="5"/>
  <c r="J11" i="5" l="1"/>
  <c r="I12" i="5"/>
  <c r="I13" i="5" l="1"/>
  <c r="J12" i="5"/>
  <c r="J13" i="5" l="1"/>
  <c r="I14" i="5"/>
  <c r="I15" i="5" l="1"/>
  <c r="J14" i="5"/>
  <c r="J15" i="5" l="1"/>
  <c r="I16" i="5"/>
  <c r="I17" i="5" l="1"/>
  <c r="J16" i="5"/>
  <c r="I18" i="5" l="1"/>
  <c r="J17" i="5"/>
  <c r="I19" i="5" l="1"/>
  <c r="J18" i="5"/>
  <c r="I20" i="5" l="1"/>
  <c r="J19" i="5"/>
  <c r="J20" i="5" l="1"/>
  <c r="I21" i="5"/>
  <c r="J21" i="5" l="1"/>
  <c r="I22" i="5"/>
  <c r="I23" i="5" l="1"/>
  <c r="J22" i="5"/>
  <c r="I24" i="5" l="1"/>
  <c r="J23" i="5"/>
  <c r="I25" i="5" l="1"/>
  <c r="J25" i="5" s="1"/>
  <c r="J24" i="5"/>
  <c r="N3" i="5"/>
  <c r="N2" i="5"/>
  <c r="M12" i="5" l="1"/>
  <c r="N12" i="5" s="1"/>
  <c r="M16" i="5"/>
  <c r="N16" i="5" s="1"/>
  <c r="M20" i="5"/>
  <c r="N20" i="5" s="1"/>
  <c r="M18" i="5"/>
  <c r="N18" i="5" s="1"/>
  <c r="M11" i="5"/>
  <c r="N11" i="5" s="1"/>
  <c r="M15" i="5"/>
  <c r="N15" i="5" s="1"/>
  <c r="M23" i="5"/>
  <c r="N23" i="5" s="1"/>
  <c r="M25" i="5"/>
  <c r="N25" i="5" s="1"/>
  <c r="M9" i="5"/>
  <c r="N9" i="5" s="1"/>
  <c r="M26" i="5"/>
  <c r="N26" i="5" s="1"/>
  <c r="M13" i="5"/>
  <c r="N13" i="5" s="1"/>
  <c r="M17" i="5"/>
  <c r="N17" i="5" s="1"/>
  <c r="M21" i="5"/>
  <c r="N21" i="5" s="1"/>
  <c r="M19" i="5"/>
  <c r="N19" i="5" s="1"/>
  <c r="M10" i="5"/>
  <c r="N10" i="5" s="1"/>
  <c r="M14" i="5"/>
  <c r="N14" i="5" s="1"/>
  <c r="M22" i="5"/>
  <c r="N22" i="5" s="1"/>
  <c r="M24" i="5"/>
  <c r="N24" i="5" s="1"/>
  <c r="M27" i="5"/>
  <c r="N27" i="5" s="1"/>
  <c r="O27" i="5" s="1"/>
  <c r="Q15" i="5" l="1"/>
  <c r="Q14" i="5"/>
  <c r="Q18" i="5"/>
  <c r="O26" i="5"/>
  <c r="O25" i="5" s="1"/>
  <c r="Q11" i="5"/>
  <c r="Q22" i="5"/>
  <c r="Q10" i="5"/>
  <c r="Q13" i="5"/>
  <c r="Q23" i="5"/>
  <c r="Q20" i="5"/>
  <c r="P3" i="5"/>
  <c r="Q17" i="5"/>
  <c r="Q24" i="5"/>
  <c r="P2" i="5"/>
  <c r="Q19" i="5"/>
  <c r="Q16" i="5"/>
  <c r="Q21" i="5"/>
  <c r="Q8" i="5"/>
  <c r="Q9" i="5"/>
  <c r="Q12" i="5"/>
  <c r="O24" i="5" l="1"/>
  <c r="P25" i="5"/>
  <c r="Q25" i="5" s="1"/>
  <c r="P24" i="5" l="1"/>
  <c r="O23" i="5"/>
  <c r="O22" i="5" l="1"/>
  <c r="P23" i="5"/>
  <c r="O21" i="5" l="1"/>
  <c r="P22" i="5"/>
  <c r="O20" i="5" l="1"/>
  <c r="P21" i="5"/>
  <c r="P20" i="5" l="1"/>
  <c r="O19" i="5"/>
  <c r="P19" i="5" l="1"/>
  <c r="O18" i="5"/>
  <c r="P18" i="5" l="1"/>
  <c r="O17" i="5"/>
  <c r="O16" i="5" l="1"/>
  <c r="P17" i="5"/>
  <c r="O15" i="5" l="1"/>
  <c r="P16" i="5"/>
  <c r="P15" i="5" l="1"/>
  <c r="O14" i="5"/>
  <c r="O13" i="5" l="1"/>
  <c r="P14" i="5"/>
  <c r="O12" i="5" l="1"/>
  <c r="P13" i="5"/>
  <c r="P12" i="5" l="1"/>
  <c r="O11" i="5"/>
  <c r="P11" i="5" l="1"/>
  <c r="O10" i="5"/>
  <c r="O9" i="5" l="1"/>
  <c r="P10" i="5"/>
  <c r="O8" i="5" l="1"/>
  <c r="P8" i="5" s="1"/>
  <c r="P9" i="5"/>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<sst xmlns="http://schemas.openxmlformats.org/spreadsheetml/2006/main" count="171" uniqueCount="135">
  <si>
    <t>x</t>
  </si>
  <si>
    <t>Alpha  =</t>
  </si>
  <si>
    <t>45q15 =</t>
  </si>
  <si>
    <t>Beta   =</t>
  </si>
  <si>
    <t>35q15 =</t>
  </si>
  <si>
    <t>0- 4</t>
  </si>
  <si>
    <t>5- 9</t>
  </si>
  <si>
    <t>10-14</t>
  </si>
  <si>
    <t>15-19</t>
  </si>
  <si>
    <t>20-24</t>
  </si>
  <si>
    <t>25-29</t>
  </si>
  <si>
    <t>30-34</t>
  </si>
  <si>
    <t>35-39</t>
  </si>
  <si>
    <t>40-44</t>
  </si>
  <si>
    <t>45-49</t>
  </si>
  <si>
    <t>50-54</t>
  </si>
  <si>
    <t>55-59</t>
  </si>
  <si>
    <t>60-64</t>
  </si>
  <si>
    <t>`</t>
  </si>
  <si>
    <t>e(65)</t>
  </si>
  <si>
    <t>e(70)</t>
  </si>
  <si>
    <t>e(75)</t>
  </si>
  <si>
    <t>e(80)</t>
  </si>
  <si>
    <t>e(85)</t>
  </si>
  <si>
    <t>A</t>
  </si>
  <si>
    <r>
      <rPr>
        <i/>
        <sz val="10"/>
        <rFont val="Arial"/>
        <family val="2"/>
      </rPr>
      <t>e</t>
    </r>
    <r>
      <rPr>
        <sz val="10"/>
        <rFont val="Arial"/>
        <family val="2"/>
      </rPr>
      <t>(</t>
    </r>
    <r>
      <rPr>
        <i/>
        <sz val="10"/>
        <rFont val="Arial"/>
        <family val="2"/>
      </rPr>
      <t>A</t>
    </r>
    <r>
      <rPr>
        <sz val="10"/>
        <rFont val="Arial"/>
        <family val="2"/>
      </rPr>
      <t>)</t>
    </r>
  </si>
  <si>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</si>
  <si>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</si>
  <si>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</si>
  <si>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</si>
  <si>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</si>
  <si>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</si>
  <si>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</si>
  <si>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</si>
  <si>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</si>
  <si>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</si>
  <si>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</si>
  <si>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</si>
  <si>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</si>
  <si>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</si>
  <si>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</si>
  <si>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</si>
  <si>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</si>
  <si>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</si>
  <si>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</si>
  <si>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</si>
  <si>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</si>
  <si>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</si>
  <si>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</si>
  <si>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</si>
  <si>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t>5</t>
    </r>
    <r>
      <rPr>
        <b/>
        <i/>
        <sz val="10"/>
        <rFont val="Arial"/>
        <family val="2"/>
      </rPr>
      <t>r</t>
    </r>
    <r>
      <rPr>
        <b/>
        <i/>
        <vertAlign val="subscript"/>
        <sz val="10"/>
        <rFont val="Arial"/>
        <family val="2"/>
      </rPr>
      <t>x</t>
    </r>
  </si>
  <si>
    <r>
      <rPr>
        <i/>
        <sz val="10"/>
        <rFont val="Arial"/>
        <family val="2"/>
      </rPr>
      <t>A</t>
    </r>
    <r>
      <rPr>
        <sz val="10"/>
        <rFont val="Arial"/>
        <family val="2"/>
      </rPr>
      <t>+</t>
    </r>
  </si>
  <si>
    <r>
      <rPr>
        <vertAlign val="subscript"/>
        <sz val="10"/>
        <color theme="1"/>
        <rFont val="Arial"/>
        <family val="2"/>
      </rPr>
      <t>30</t>
    </r>
    <r>
      <rPr>
        <i/>
        <sz val="10"/>
        <color theme="1"/>
        <rFont val="Arial"/>
        <family val="2"/>
      </rPr>
      <t>D</t>
    </r>
    <r>
      <rPr>
        <vertAlign val="subscript"/>
        <sz val="10"/>
        <color theme="1"/>
        <rFont val="Arial"/>
        <family val="2"/>
      </rPr>
      <t>10</t>
    </r>
    <r>
      <rPr>
        <sz val="10"/>
        <rFont val="Arial"/>
        <family val="2"/>
      </rPr>
      <t>/</t>
    </r>
    <r>
      <rPr>
        <vertAlign val="subscript"/>
        <sz val="10"/>
        <color theme="1"/>
        <rFont val="Arial"/>
        <family val="2"/>
      </rPr>
      <t>20</t>
    </r>
    <r>
      <rPr>
        <i/>
        <sz val="10"/>
        <color theme="1"/>
        <rFont val="Arial"/>
        <family val="2"/>
      </rPr>
      <t>D</t>
    </r>
    <r>
      <rPr>
        <vertAlign val="subscript"/>
        <sz val="10"/>
        <color theme="1"/>
        <rFont val="Arial"/>
        <family val="2"/>
      </rPr>
      <t>40</t>
    </r>
    <r>
      <rPr>
        <sz val="10"/>
        <rFont val="Arial"/>
        <family val="2"/>
      </rPr>
      <t xml:space="preserve"> =</t>
    </r>
  </si>
  <si>
    <t>http://demographicestimation.iussp.org/content/synthetic-extinct-generations-methods</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</si>
  <si>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</si>
  <si>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</si>
  <si>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</si>
  <si>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</si>
  <si>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</si>
  <si>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</si>
  <si>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</si>
  <si>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</si>
  <si>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</si>
  <si>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t>第一次普查日期 (YYYY/MM/DD):</t>
  </si>
  <si>
    <t>第二次普查日期 (YYYY/MM/DD):</t>
  </si>
  <si>
    <r>
      <t xml:space="preserve">将 </t>
    </r>
    <r>
      <rPr>
        <b/>
        <i/>
        <sz val="12"/>
        <rFont val="Arial"/>
        <family val="2"/>
      </rPr>
      <t>Method</t>
    </r>
    <r>
      <rPr>
        <sz val="12"/>
        <rFont val="Arial"/>
        <family val="2"/>
      </rPr>
      <t xml:space="preserve"> 工作表</t>
    </r>
    <r>
      <rPr>
        <b/>
        <sz val="12"/>
        <rFont val="Arial"/>
        <family val="2"/>
      </rPr>
      <t>J3</t>
    </r>
    <r>
      <rPr>
        <sz val="12"/>
        <rFont val="Arial"/>
        <family val="2"/>
      </rPr>
      <t xml:space="preserve"> 单元格中的数设置为比开放年龄组的起始年龄小1岁。</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</si>
  <si>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</si>
  <si>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</si>
  <si>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t>年龄</t>
  </si>
  <si>
    <t>联合国一般</t>
  </si>
  <si>
    <t>普林斯顿东部</t>
  </si>
  <si>
    <t>普林斯顿北部</t>
  </si>
  <si>
    <t>普林斯顿南部</t>
  </si>
  <si>
    <t>普林斯顿西部</t>
  </si>
  <si>
    <t>艾滋病</t>
  </si>
  <si>
    <t>其他</t>
  </si>
  <si>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</si>
  <si>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</si>
  <si>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标准生命表</t>
  </si>
  <si>
    <t>修正的</t>
  </si>
  <si>
    <t>女性</t>
  </si>
  <si>
    <t>男性</t>
  </si>
  <si>
    <t>国家</t>
  </si>
  <si>
    <t>普查中间时点</t>
  </si>
  <si>
    <t>普查间隔</t>
  </si>
  <si>
    <t>合计</t>
  </si>
  <si>
    <t>拟合直线的年龄区间</t>
  </si>
  <si>
    <r>
      <t>决定完整率c 的年龄区间</t>
    </r>
    <r>
      <rPr>
        <sz val="10"/>
        <rFont val="Arial"/>
        <family val="2"/>
      </rPr>
      <t>:</t>
    </r>
  </si>
  <si>
    <t>N(x+)的平均离差</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</si>
  <si>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</si>
  <si>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</si>
  <si>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</si>
  <si>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</si>
  <si>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</si>
  <si>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</si>
  <si>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</si>
  <si>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</si>
  <si>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</si>
  <si>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65岁及以上使用年龄别完整率?</t>
  </si>
  <si>
    <t>是</t>
  </si>
  <si>
    <t>拟合起始年龄:</t>
  </si>
  <si>
    <t>拟合终点年龄:</t>
  </si>
  <si>
    <t xml:space="preserve">下限年龄= </t>
  </si>
  <si>
    <t>上限年龄 =</t>
  </si>
  <si>
    <t>下限的 25% &lt;</t>
  </si>
  <si>
    <t>上限的 25% &gt;</t>
  </si>
  <si>
    <t>下限年龄=</t>
  </si>
  <si>
    <t>15+岁合计</t>
  </si>
  <si>
    <t>警示</t>
  </si>
  <si>
    <t>水平</t>
  </si>
  <si>
    <t>比率</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</si>
  <si>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</si>
  <si>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</si>
  <si>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在右边</t>
    </r>
    <r>
      <rPr>
        <b/>
        <sz val="12"/>
        <rFont val="Arial"/>
        <family val="2"/>
      </rPr>
      <t>D9</t>
    </r>
    <r>
      <rPr>
        <sz val="12"/>
        <rFont val="Arial"/>
        <family val="2"/>
      </rPr>
      <t>单元格内输入国家/人口的名称。</t>
    </r>
  </si>
  <si>
    <t>在右边单元格内选择所研究人口的性别。</t>
  </si>
  <si>
    <r>
      <t>平滑处理后的死亡率示于</t>
    </r>
    <r>
      <rPr>
        <b/>
        <i/>
        <sz val="12"/>
        <rFont val="Arial"/>
        <family val="2"/>
      </rPr>
      <t>Life expectancies</t>
    </r>
    <r>
      <rPr>
        <sz val="12"/>
        <rFont val="Arial"/>
        <family val="2"/>
      </rPr>
      <t xml:space="preserve"> 工作表 </t>
    </r>
    <r>
      <rPr>
        <b/>
        <sz val="12"/>
        <rFont val="Arial"/>
        <family val="2"/>
      </rPr>
      <t>Q8:Q25</t>
    </r>
    <r>
      <rPr>
        <sz val="12"/>
        <rFont val="Arial"/>
        <family val="2"/>
      </rPr>
      <t>区域。</t>
    </r>
  </si>
  <si>
    <r>
      <t xml:space="preserve">估计的 </t>
    </r>
    <r>
      <rPr>
        <b/>
        <i/>
        <sz val="10"/>
        <rFont val="Arial"/>
        <family val="2"/>
      </rPr>
      <t>N</t>
    </r>
    <r>
      <rPr>
        <b/>
        <i/>
        <vertAlign val="subscript"/>
        <sz val="10"/>
        <rFont val="Arial"/>
        <family val="2"/>
      </rPr>
      <t>x</t>
    </r>
  </si>
  <si>
    <r>
      <t xml:space="preserve">估计的 </t>
    </r>
    <r>
      <rPr>
        <b/>
        <vertAlign val="subscript"/>
        <sz val="10"/>
        <rFont val="Arial"/>
        <family val="2"/>
      </rPr>
      <t>5</t>
    </r>
    <r>
      <rPr>
        <b/>
        <i/>
        <sz val="10"/>
        <rFont val="Arial"/>
        <family val="2"/>
      </rPr>
      <t>N</t>
    </r>
    <r>
      <rPr>
        <b/>
        <i/>
        <vertAlign val="subscript"/>
        <sz val="10"/>
        <rFont val="Arial"/>
        <family val="2"/>
      </rPr>
      <t>x</t>
    </r>
  </si>
  <si>
    <r>
      <t xml:space="preserve">观测的 </t>
    </r>
    <r>
      <rPr>
        <b/>
        <vertAlign val="subscript"/>
        <sz val="10"/>
        <rFont val="Arial"/>
        <family val="2"/>
      </rPr>
      <t>5</t>
    </r>
    <r>
      <rPr>
        <b/>
        <i/>
        <sz val="10"/>
        <rFont val="Arial"/>
        <family val="2"/>
      </rPr>
      <t>N</t>
    </r>
    <r>
      <rPr>
        <b/>
        <i/>
        <vertAlign val="subscript"/>
        <sz val="10"/>
        <rFont val="Arial"/>
        <family val="2"/>
      </rPr>
      <t>x</t>
    </r>
  </si>
  <si>
    <r>
      <t xml:space="preserve">完整率 c: </t>
    </r>
    <r>
      <rPr>
        <b/>
        <vertAlign val="subscript"/>
        <sz val="10"/>
        <rFont val="Arial"/>
        <family val="2"/>
      </rPr>
      <t>5</t>
    </r>
    <r>
      <rPr>
        <b/>
        <i/>
        <sz val="10"/>
        <rFont val="Arial"/>
        <family val="2"/>
      </rPr>
      <t>N</t>
    </r>
    <r>
      <rPr>
        <b/>
        <i/>
        <vertAlign val="subscript"/>
        <sz val="10"/>
        <rFont val="Arial"/>
        <family val="2"/>
      </rPr>
      <t>x</t>
    </r>
  </si>
  <si>
    <r>
      <rPr>
        <b/>
        <i/>
        <sz val="10"/>
        <rFont val="Arial"/>
        <family val="2"/>
      </rPr>
      <t>完整率 c</t>
    </r>
    <r>
      <rPr>
        <b/>
        <sz val="10"/>
        <rFont val="Arial"/>
        <family val="2"/>
      </rPr>
      <t xml:space="preserve">:   </t>
    </r>
    <r>
      <rPr>
        <b/>
        <vertAlign val="subscript"/>
        <sz val="10"/>
        <rFont val="Arial"/>
        <family val="2"/>
      </rPr>
      <t>A-x</t>
    </r>
    <r>
      <rPr>
        <b/>
        <i/>
        <sz val="10"/>
        <rFont val="Arial"/>
        <family val="2"/>
      </rPr>
      <t>N</t>
    </r>
    <r>
      <rPr>
        <b/>
        <i/>
        <vertAlign val="subscript"/>
        <sz val="10"/>
        <rFont val="Arial"/>
        <family val="2"/>
      </rPr>
      <t>x</t>
    </r>
  </si>
  <si>
    <r>
      <rPr>
        <b/>
        <i/>
        <sz val="10"/>
        <rFont val="Arial"/>
        <family val="2"/>
      </rPr>
      <t xml:space="preserve"> 完整率  c</t>
    </r>
    <r>
      <rPr>
        <sz val="10"/>
        <rFont val="Arial"/>
        <family val="2"/>
      </rPr>
      <t xml:space="preserve"> =</t>
    </r>
  </si>
  <si>
    <r>
      <t xml:space="preserve">观测的 </t>
    </r>
    <r>
      <rPr>
        <b/>
        <i/>
        <sz val="10"/>
        <rFont val="Arial"/>
        <family val="2"/>
      </rPr>
      <t>Y</t>
    </r>
    <r>
      <rPr>
        <b/>
        <sz val="10"/>
        <rFont val="Arial"/>
        <family val="2"/>
      </rPr>
      <t>(</t>
    </r>
    <r>
      <rPr>
        <b/>
        <i/>
        <sz val="10"/>
        <rFont val="Arial"/>
        <family val="2"/>
      </rPr>
      <t>x</t>
    </r>
    <r>
      <rPr>
        <b/>
        <sz val="10"/>
        <rFont val="Arial"/>
        <family val="2"/>
      </rPr>
      <t>)</t>
    </r>
  </si>
  <si>
    <t>本工作表对调查间隔期内成年死亡申报数的完整性进行估计。当只有一次普查数据，如果可以假定人口变化稳定，本工作表可以对某一时期内成年死亡申报数的完整性进行估计。如果有一张较好反映研究人口的模型生命表（分布形态相似），本工作表还可基于估计的完整率将死亡数转为死亡率 。</t>
  </si>
  <si>
    <t>用假想世代消亡法估算成年人死亡率 -- 应用说明</t>
  </si>
  <si>
    <t>在右边下拉式单元格内选定想要用来分析该人口死亡水平和趋势的模型生命表。</t>
  </si>
  <si>
    <r>
      <t>确定开放年龄组A岁和向下每隔五岁一直到65岁的预期寿命，并将它们输入</t>
    </r>
    <r>
      <rPr>
        <b/>
        <i/>
        <sz val="12"/>
        <rFont val="Arial"/>
        <family val="2"/>
      </rPr>
      <t>Method</t>
    </r>
    <r>
      <rPr>
        <sz val="12"/>
        <rFont val="Arial"/>
        <family val="2"/>
      </rPr>
      <t xml:space="preserve">工作表 </t>
    </r>
    <r>
      <rPr>
        <b/>
        <sz val="12"/>
        <rFont val="Arial"/>
        <family val="2"/>
      </rPr>
      <t>T28:T33</t>
    </r>
    <r>
      <rPr>
        <sz val="12"/>
        <rFont val="Arial"/>
        <family val="2"/>
      </rPr>
      <t>单元格区域中。这些数值可以：</t>
    </r>
  </si>
  <si>
    <t>(a) 来自诸如联合国人口司的《世界人口展望》等独立数据源。</t>
  </si>
  <si>
    <r>
      <t>(b) 若研究人口受到艾滋病死亡的影响不大，来自本工作簿中</t>
    </r>
    <r>
      <rPr>
        <b/>
        <i/>
        <sz val="12"/>
        <rFont val="Arial"/>
        <family val="2"/>
      </rPr>
      <t>Life expectancies</t>
    </r>
    <r>
      <rPr>
        <sz val="12"/>
        <rFont val="Arial"/>
        <family val="2"/>
      </rPr>
      <t xml:space="preserve"> 工作表</t>
    </r>
    <r>
      <rPr>
        <b/>
        <sz val="12"/>
        <rFont val="Arial"/>
        <family val="2"/>
      </rPr>
      <t>B31:B35</t>
    </r>
    <r>
      <rPr>
        <sz val="12"/>
        <rFont val="Arial"/>
        <family val="2"/>
      </rPr>
      <t>单元格区域的数据。</t>
    </r>
  </si>
  <si>
    <r>
      <t xml:space="preserve">(c) 或者来自 </t>
    </r>
    <r>
      <rPr>
        <b/>
        <i/>
        <sz val="12"/>
        <rFont val="Arial"/>
        <family val="2"/>
      </rPr>
      <t>Life expectancies</t>
    </r>
    <r>
      <rPr>
        <sz val="12"/>
        <rFont val="Arial"/>
        <family val="2"/>
      </rPr>
      <t xml:space="preserve"> 工作表</t>
    </r>
    <r>
      <rPr>
        <b/>
        <sz val="12"/>
        <rFont val="Arial"/>
        <family val="2"/>
      </rPr>
      <t>P20:P24</t>
    </r>
    <r>
      <rPr>
        <sz val="12"/>
        <rFont val="Arial"/>
        <family val="2"/>
      </rPr>
      <t xml:space="preserve"> 单元格区域的数据。 (鉴于这些估计值是从计算结果得到的，应该求出死亡完整率的初步估计值，并用更新过的预期寿命替代原先的预期寿命，之后再次估计死亡完整率。)</t>
    </r>
  </si>
  <si>
    <r>
      <t>在</t>
    </r>
    <r>
      <rPr>
        <b/>
        <i/>
        <sz val="12"/>
        <rFont val="Arial"/>
        <family val="2"/>
      </rPr>
      <t>Method</t>
    </r>
    <r>
      <rPr>
        <sz val="12"/>
        <rFont val="Arial"/>
        <family val="2"/>
      </rPr>
      <t xml:space="preserve">工作表中，检查诊断图，并确定用来拟合直线( </t>
    </r>
    <r>
      <rPr>
        <b/>
        <sz val="12"/>
        <rFont val="Arial"/>
        <family val="2"/>
      </rPr>
      <t>J2</t>
    </r>
    <r>
      <rPr>
        <sz val="12"/>
        <rFont val="Arial"/>
        <family val="2"/>
      </rPr>
      <t xml:space="preserve"> 和 </t>
    </r>
    <r>
      <rPr>
        <b/>
        <sz val="12"/>
        <rFont val="Arial"/>
        <family val="2"/>
      </rPr>
      <t xml:space="preserve">J3 </t>
    </r>
    <r>
      <rPr>
        <sz val="12"/>
        <rFont val="Arial"/>
        <family val="2"/>
      </rPr>
      <t xml:space="preserve">单元格) 和估计完整率( </t>
    </r>
    <r>
      <rPr>
        <b/>
        <sz val="12"/>
        <rFont val="Arial"/>
        <family val="2"/>
      </rPr>
      <t xml:space="preserve">Q32 </t>
    </r>
    <r>
      <rPr>
        <sz val="12"/>
        <rFont val="Arial"/>
        <family val="2"/>
      </rPr>
      <t>和</t>
    </r>
    <r>
      <rPr>
        <b/>
        <sz val="12"/>
        <rFont val="Arial"/>
        <family val="2"/>
      </rPr>
      <t xml:space="preserve"> Q33</t>
    </r>
    <r>
      <rPr>
        <sz val="12"/>
        <rFont val="Arial"/>
        <family val="2"/>
      </rPr>
      <t>单元格)的年龄区间。</t>
    </r>
  </si>
  <si>
    <r>
      <t>将delta值(</t>
    </r>
    <r>
      <rPr>
        <b/>
        <sz val="12"/>
        <rFont val="Arial"/>
        <family val="2"/>
      </rPr>
      <t>M2</t>
    </r>
    <r>
      <rPr>
        <sz val="12"/>
        <rFont val="Arial"/>
        <family val="2"/>
      </rPr>
      <t>单元格）设置等于基于广义增长平衡法拟合得到的直线的截距，来确定死亡完整性是否随年龄下降。</t>
    </r>
  </si>
  <si>
    <r>
      <t>若完整率没有随年龄下降情况，则用</t>
    </r>
    <r>
      <rPr>
        <i/>
        <sz val="12"/>
        <rFont val="Arial"/>
        <family val="2"/>
      </rPr>
      <t>规划求解</t>
    </r>
    <r>
      <rPr>
        <sz val="12"/>
        <rFont val="Arial"/>
        <family val="2"/>
      </rPr>
      <t>计算</t>
    </r>
    <r>
      <rPr>
        <b/>
        <i/>
        <sz val="12"/>
        <rFont val="Arial"/>
        <family val="2"/>
      </rPr>
      <t>Method</t>
    </r>
    <r>
      <rPr>
        <sz val="12"/>
        <rFont val="Arial"/>
        <family val="2"/>
      </rPr>
      <t>工作表中的delta值(</t>
    </r>
    <r>
      <rPr>
        <b/>
        <sz val="12"/>
        <rFont val="Arial"/>
        <family val="2"/>
      </rPr>
      <t>M2</t>
    </r>
    <r>
      <rPr>
        <sz val="12"/>
        <rFont val="Arial"/>
        <family val="2"/>
      </rPr>
      <t xml:space="preserve"> 单元格）。</t>
    </r>
  </si>
  <si>
    <r>
      <t>如果死亡完整率随年龄下降超过一定程度，那么用这些年龄的年龄别完整率就会比用一个总率得到的这些年龄上的死亡率要好。只要在</t>
    </r>
    <r>
      <rPr>
        <b/>
        <i/>
        <sz val="12"/>
        <rFont val="Arial"/>
        <family val="2"/>
      </rPr>
      <t>Life expectancies</t>
    </r>
    <r>
      <rPr>
        <sz val="12"/>
        <rFont val="Arial"/>
        <family val="2"/>
      </rPr>
      <t>工作表</t>
    </r>
    <r>
      <rPr>
        <b/>
        <sz val="12"/>
        <rFont val="Arial"/>
        <family val="2"/>
      </rPr>
      <t>E3</t>
    </r>
    <r>
      <rPr>
        <sz val="12"/>
        <rFont val="Arial"/>
        <family val="2"/>
      </rPr>
      <t>单元格内选择“是”即可。</t>
    </r>
  </si>
  <si>
    <r>
      <t>调整了登记不完整率和相对漏报后的死亡率的估计值示于</t>
    </r>
    <r>
      <rPr>
        <b/>
        <i/>
        <sz val="12"/>
        <rFont val="Arial"/>
        <family val="2"/>
      </rPr>
      <t>Life expectancies</t>
    </r>
    <r>
      <rPr>
        <sz val="12"/>
        <rFont val="Arial"/>
        <family val="2"/>
      </rPr>
      <t xml:space="preserve">工作表 </t>
    </r>
    <r>
      <rPr>
        <b/>
        <sz val="12"/>
        <rFont val="Arial"/>
        <family val="2"/>
      </rPr>
      <t>F8:F24</t>
    </r>
    <r>
      <rPr>
        <sz val="12"/>
        <rFont val="Arial"/>
        <family val="2"/>
      </rPr>
      <t>单元格区域。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</si>
</sst>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76" formatCode="0.00000"/>
    <numFmt numFmtId="177" formatCode="0.0000"/>
    <numFmt numFmtId="178" formatCode="#,##0.0000_);\(#,##0.0000\)"/>
    <numFmt numFmtId="179" formatCode="0.00_)"/>
    <numFmt numFmtId="180" formatCode="0.0000_)"/>
    <numFmt numFmtId="181" formatCode="0_)"/>
    <numFmt numFmtId="182" formatCode="_ * #,##0_ ;_ * \-#,##0_ ;_ * &quot;-&quot;??_ ;_ @_ "/>
    <numFmt numFmtId="183" formatCode="0.000"/>
    <numFmt numFmtId="184" formatCode="General_)"/>
    <numFmt numFmtId="185" formatCode="0.000_)"/>
    <numFmt numFmtId="186" formatCode="yyyy/mm/dd;@"/>
    <numFmt numFmtId="187" formatCode="0.0_)"/>
    <numFmt numFmtId="188" formatCode="_-* #,##0.00_-;\-* #,##0.00_-;_-* &quot;-&quot;??_-;_-@_-"/>
  </numFmts>
  <fonts count="37">
    <font>
      <sz val="10"/>
      <name val="Arial"/>
    </font>
    <font>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i/>
      <sz val="10"/>
      <name val="Arial"/>
      <family val="2"/>
    </font>
    <font>
      <b/>
      <sz val="12"/>
      <color indexed="81"/>
      <name val="Tahoma"/>
      <family val="2"/>
    </font>
    <font>
      <u/>
      <sz val="10"/>
      <color theme="10"/>
      <name val="Arial"/>
      <family val="2"/>
    </font>
    <font>
      <vertAlign val="subscript"/>
      <sz val="10"/>
      <color theme="1"/>
      <name val="Arial"/>
      <family val="2"/>
    </font>
    <font>
      <i/>
      <sz val="10"/>
      <color theme="1"/>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sz val="10"/>
      <name val="Arial"/>
      <family val="2"/>
    </font>
    <font>
      <b/>
      <i/>
      <vertAlign val="subscript"/>
      <sz val="10"/>
      <name val="Arial"/>
      <family val="2"/>
    </font>
    <font>
      <b/>
      <sz val="10"/>
      <color theme="1"/>
      <name val="Arial"/>
      <family val="2"/>
    </font>
    <font>
      <i/>
      <sz val="12"/>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8">
    <fill>
      <patternFill patternType="none"/>
    </fill>
    <fill>
      <patternFill patternType="gray125"/>
    </fill>
    <fill>
      <patternFill patternType="solid">
        <fgColor indexed="43"/>
        <bgColor indexed="64"/>
      </patternFill>
    </fill>
    <fill>
      <patternFill patternType="solid">
        <fgColor rgb="FFFFEB9C"/>
        <bgColor indexed="64"/>
      </patternFill>
    </fill>
    <fill>
      <patternFill patternType="solid">
        <fgColor theme="0"/>
        <bgColor indexed="64"/>
      </patternFill>
    </fill>
    <fill>
      <patternFill patternType="solid">
        <fgColor rgb="FFC6EFCE"/>
        <bgColor indexed="64"/>
      </patternFill>
    </fill>
    <fill>
      <patternFill patternType="solid">
        <fgColor theme="6" tint="0.39994506668294322"/>
        <bgColor indexed="64"/>
      </patternFill>
    </fill>
    <fill>
      <patternFill patternType="solid">
        <fgColor rgb="FFFFEB9B"/>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s>
  <cellStyleXfs count="40">
    <xf numFmtId="0" fontId="0" fillId="0" borderId="0"/>
    <xf numFmtId="0" fontId="1" fillId="0" borderId="0"/>
    <xf numFmtId="0" fontId="1" fillId="0" borderId="0"/>
    <xf numFmtId="43" fontId="2"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184" fontId="16" fillId="0" borderId="0"/>
    <xf numFmtId="43" fontId="1" fillId="0" borderId="0" applyFont="0" applyFill="0" applyBorder="0" applyAlignment="0" applyProtection="0"/>
    <xf numFmtId="43" fontId="21" fillId="0" borderId="0" applyFont="0" applyFill="0" applyBorder="0" applyAlignment="0" applyProtection="0"/>
    <xf numFmtId="0" fontId="22" fillId="0" borderId="0"/>
    <xf numFmtId="180" fontId="23" fillId="0" borderId="0"/>
    <xf numFmtId="0" fontId="1" fillId="0" borderId="0"/>
    <xf numFmtId="0" fontId="1" fillId="0" borderId="0"/>
    <xf numFmtId="180" fontId="23" fillId="0" borderId="0"/>
    <xf numFmtId="184" fontId="32" fillId="0" borderId="0"/>
    <xf numFmtId="188" fontId="1" fillId="0" borderId="0" applyFont="0" applyFill="0" applyBorder="0" applyAlignment="0" applyProtection="0"/>
    <xf numFmtId="0" fontId="22" fillId="0" borderId="0"/>
    <xf numFmtId="0" fontId="1" fillId="0" borderId="0"/>
    <xf numFmtId="0" fontId="1" fillId="0" borderId="0"/>
    <xf numFmtId="180" fontId="23" fillId="0" borderId="0"/>
    <xf numFmtId="0" fontId="1" fillId="0" borderId="0"/>
    <xf numFmtId="0" fontId="1" fillId="0" borderId="0"/>
    <xf numFmtId="180" fontId="23"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xf numFmtId="180" fontId="23" fillId="0" borderId="0"/>
    <xf numFmtId="0" fontId="1" fillId="0" borderId="0"/>
    <xf numFmtId="0" fontId="1"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cellStyleXfs>
  <cellXfs count="138">
    <xf numFmtId="0" fontId="0" fillId="0" borderId="0" xfId="0"/>
    <xf numFmtId="0" fontId="3" fillId="0" borderId="0" xfId="0" applyFont="1"/>
    <xf numFmtId="0" fontId="1" fillId="0" borderId="0" xfId="0" applyFont="1"/>
    <xf numFmtId="2" fontId="1" fillId="0" borderId="0" xfId="0" applyNumberFormat="1" applyFont="1"/>
    <xf numFmtId="1" fontId="1" fillId="0" borderId="0" xfId="0" applyNumberFormat="1" applyFont="1"/>
    <xf numFmtId="0" fontId="1" fillId="0" borderId="0" xfId="0" applyFont="1" applyAlignment="1">
      <alignment horizontal="right"/>
    </xf>
    <xf numFmtId="0" fontId="3" fillId="0" borderId="0" xfId="2" applyFont="1"/>
    <xf numFmtId="0" fontId="12" fillId="0" borderId="0" xfId="2" applyFont="1"/>
    <xf numFmtId="0" fontId="3" fillId="0" borderId="0" xfId="2" applyFont="1" applyAlignment="1">
      <alignment vertical="top"/>
    </xf>
    <xf numFmtId="0" fontId="13" fillId="0" borderId="0" xfId="2" applyFont="1" applyAlignment="1">
      <alignment vertical="top"/>
    </xf>
    <xf numFmtId="0" fontId="13" fillId="0" borderId="0" xfId="2" applyFont="1"/>
    <xf numFmtId="0" fontId="13" fillId="0" borderId="0" xfId="2" applyFont="1" applyAlignment="1">
      <alignment vertical="top" wrapText="1"/>
    </xf>
    <xf numFmtId="0" fontId="13" fillId="0" borderId="0" xfId="2" applyFont="1" applyAlignment="1">
      <alignment horizontal="left" vertical="top" wrapText="1"/>
    </xf>
    <xf numFmtId="0" fontId="13" fillId="0" borderId="0" xfId="2" applyFont="1" applyAlignment="1">
      <alignment wrapText="1"/>
    </xf>
    <xf numFmtId="184" fontId="12" fillId="0" borderId="0" xfId="6" applyFont="1"/>
    <xf numFmtId="184" fontId="13" fillId="0" borderId="0" xfId="6" applyFont="1"/>
    <xf numFmtId="184" fontId="4" fillId="0" borderId="0" xfId="6" applyFont="1" applyAlignment="1">
      <alignment horizontal="center"/>
    </xf>
    <xf numFmtId="184" fontId="12" fillId="0" borderId="0" xfId="6" applyFont="1" applyAlignment="1">
      <alignment horizontal="center"/>
    </xf>
    <xf numFmtId="184" fontId="12" fillId="4" borderId="1" xfId="6" applyFont="1" applyFill="1" applyBorder="1" applyAlignment="1" applyProtection="1">
      <alignment horizontal="center"/>
      <protection hidden="1"/>
    </xf>
    <xf numFmtId="184" fontId="12" fillId="4" borderId="1" xfId="6" applyFont="1" applyFill="1" applyBorder="1" applyAlignment="1" applyProtection="1">
      <alignment horizontal="center" wrapText="1"/>
      <protection hidden="1"/>
    </xf>
    <xf numFmtId="1" fontId="1" fillId="4" borderId="0" xfId="6" applyNumberFormat="1" applyFont="1" applyFill="1" applyBorder="1" applyAlignment="1" applyProtection="1">
      <alignment horizontal="center"/>
      <protection hidden="1"/>
    </xf>
    <xf numFmtId="180" fontId="1" fillId="4" borderId="0" xfId="6" applyNumberFormat="1" applyFont="1" applyFill="1" applyBorder="1" applyProtection="1">
      <protection hidden="1"/>
    </xf>
    <xf numFmtId="180" fontId="1" fillId="4" borderId="6" xfId="6" applyNumberFormat="1" applyFont="1" applyFill="1" applyBorder="1" applyProtection="1">
      <protection hidden="1"/>
    </xf>
    <xf numFmtId="185" fontId="1" fillId="5" borderId="0" xfId="6" applyNumberFormat="1" applyFont="1" applyFill="1" applyAlignment="1" applyProtection="1">
      <alignment horizontal="right"/>
      <protection locked="0"/>
    </xf>
    <xf numFmtId="1" fontId="1" fillId="4" borderId="2" xfId="6" applyNumberFormat="1" applyFont="1" applyFill="1" applyBorder="1" applyAlignment="1" applyProtection="1">
      <alignment horizontal="center"/>
      <protection hidden="1"/>
    </xf>
    <xf numFmtId="180" fontId="1" fillId="4" borderId="2" xfId="6" applyNumberFormat="1" applyFont="1" applyFill="1" applyBorder="1" applyProtection="1">
      <protection hidden="1"/>
    </xf>
    <xf numFmtId="185" fontId="1" fillId="5" borderId="2" xfId="6" applyNumberFormat="1" applyFont="1" applyFill="1" applyBorder="1" applyAlignment="1" applyProtection="1">
      <alignment horizontal="right"/>
      <protection locked="0"/>
    </xf>
    <xf numFmtId="184" fontId="12" fillId="0" borderId="0" xfId="6" applyFont="1" applyAlignment="1" applyProtection="1">
      <alignment horizontal="left"/>
    </xf>
    <xf numFmtId="176" fontId="13" fillId="0" borderId="0" xfId="6" applyNumberFormat="1" applyFont="1"/>
    <xf numFmtId="184" fontId="1" fillId="0" borderId="0" xfId="6" applyFont="1"/>
    <xf numFmtId="184" fontId="18" fillId="4" borderId="6" xfId="6" applyFont="1" applyFill="1" applyBorder="1"/>
    <xf numFmtId="184" fontId="18" fillId="4" borderId="6" xfId="6" applyFont="1" applyFill="1" applyBorder="1" applyAlignment="1">
      <alignment horizontal="center"/>
    </xf>
    <xf numFmtId="184" fontId="18" fillId="4" borderId="0" xfId="6" applyFont="1" applyFill="1" applyBorder="1" applyAlignment="1" applyProtection="1">
      <alignment horizontal="center"/>
    </xf>
    <xf numFmtId="184" fontId="18" fillId="4" borderId="0" xfId="6" applyFont="1" applyFill="1" applyBorder="1" applyAlignment="1">
      <alignment horizontal="center"/>
    </xf>
    <xf numFmtId="184" fontId="13" fillId="4" borderId="2" xfId="6" applyFont="1" applyFill="1" applyBorder="1"/>
    <xf numFmtId="180" fontId="18" fillId="4" borderId="0" xfId="6" applyNumberFormat="1" applyFont="1" applyFill="1" applyBorder="1" applyAlignment="1" applyProtection="1">
      <alignment horizontal="center"/>
    </xf>
    <xf numFmtId="180" fontId="1" fillId="4" borderId="6" xfId="6" applyNumberFormat="1" applyFont="1" applyFill="1" applyBorder="1" applyProtection="1"/>
    <xf numFmtId="180" fontId="1" fillId="4" borderId="0" xfId="6" applyNumberFormat="1" applyFont="1" applyFill="1" applyBorder="1" applyProtection="1"/>
    <xf numFmtId="180" fontId="1" fillId="4" borderId="2" xfId="6" applyNumberFormat="1" applyFont="1" applyFill="1" applyBorder="1" applyProtection="1"/>
    <xf numFmtId="0" fontId="13" fillId="0" borderId="9" xfId="0" applyFont="1" applyFill="1" applyBorder="1"/>
    <xf numFmtId="0" fontId="13" fillId="0" borderId="4" xfId="0" applyFont="1" applyFill="1" applyBorder="1"/>
    <xf numFmtId="0" fontId="3" fillId="0" borderId="4" xfId="2" applyFont="1" applyBorder="1"/>
    <xf numFmtId="0" fontId="3" fillId="0" borderId="12" xfId="2" applyFont="1" applyBorder="1"/>
    <xf numFmtId="0" fontId="13" fillId="0" borderId="0" xfId="0" applyFont="1"/>
    <xf numFmtId="0" fontId="13" fillId="0" borderId="0" xfId="0" applyFont="1" applyAlignment="1">
      <alignment wrapText="1"/>
    </xf>
    <xf numFmtId="0" fontId="1" fillId="0" borderId="0" xfId="2" applyFont="1"/>
    <xf numFmtId="0" fontId="1" fillId="0" borderId="0" xfId="2" applyFont="1" applyBorder="1"/>
    <xf numFmtId="0" fontId="24" fillId="0" borderId="0" xfId="2" applyFont="1"/>
    <xf numFmtId="0" fontId="25" fillId="0" borderId="0" xfId="2" applyFont="1"/>
    <xf numFmtId="0" fontId="1" fillId="0" borderId="0" xfId="2"/>
    <xf numFmtId="0" fontId="1" fillId="6" borderId="0" xfId="2" applyFont="1" applyFill="1"/>
    <xf numFmtId="178" fontId="1" fillId="0" borderId="0" xfId="2" applyNumberFormat="1" applyFont="1" applyAlignment="1" applyProtection="1">
      <alignment horizontal="left"/>
    </xf>
    <xf numFmtId="180" fontId="1" fillId="0" borderId="0" xfId="2" applyNumberFormat="1" applyFont="1" applyProtection="1"/>
    <xf numFmtId="180" fontId="25" fillId="0" borderId="0" xfId="2" applyNumberFormat="1" applyFont="1"/>
    <xf numFmtId="1" fontId="26" fillId="0" borderId="1" xfId="2" applyNumberFormat="1" applyFont="1" applyBorder="1" applyAlignment="1" applyProtection="1">
      <alignment horizontal="center"/>
    </xf>
    <xf numFmtId="1" fontId="27" fillId="0" borderId="1" xfId="2" applyNumberFormat="1" applyFont="1" applyBorder="1" applyAlignment="1" applyProtection="1">
      <alignment horizontal="center" wrapText="1"/>
    </xf>
    <xf numFmtId="0" fontId="28" fillId="0" borderId="1" xfId="2" applyFont="1" applyBorder="1" applyAlignment="1">
      <alignment horizontal="center" wrapText="1"/>
    </xf>
    <xf numFmtId="0" fontId="26" fillId="0" borderId="1" xfId="2" applyFont="1" applyBorder="1" applyAlignment="1">
      <alignment horizontal="center"/>
    </xf>
    <xf numFmtId="0" fontId="28" fillId="0" borderId="1" xfId="2" applyFont="1" applyBorder="1" applyAlignment="1">
      <alignment horizontal="center"/>
    </xf>
    <xf numFmtId="178" fontId="28" fillId="0" borderId="1" xfId="2" applyNumberFormat="1" applyFont="1" applyBorder="1" applyAlignment="1" applyProtection="1">
      <alignment horizontal="center" wrapText="1"/>
    </xf>
    <xf numFmtId="0" fontId="28" fillId="0" borderId="1" xfId="2" applyFont="1" applyBorder="1" applyAlignment="1" applyProtection="1">
      <alignment horizontal="center"/>
    </xf>
    <xf numFmtId="181"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wrapText="1"/>
    </xf>
    <xf numFmtId="0" fontId="1" fillId="0" borderId="0" xfId="2" applyFont="1" applyAlignment="1">
      <alignment horizontal="center"/>
    </xf>
    <xf numFmtId="0" fontId="28" fillId="0" borderId="0" xfId="2" applyFont="1"/>
    <xf numFmtId="182" fontId="1" fillId="0" borderId="0" xfId="7" applyNumberFormat="1" applyFont="1"/>
    <xf numFmtId="177" fontId="1" fillId="7" borderId="0" xfId="2" applyNumberFormat="1" applyFont="1" applyFill="1"/>
    <xf numFmtId="177" fontId="1" fillId="0" borderId="0" xfId="2" applyNumberFormat="1" applyFont="1"/>
    <xf numFmtId="178" fontId="1" fillId="0" borderId="0" xfId="2" applyNumberFormat="1" applyFont="1" applyProtection="1"/>
    <xf numFmtId="181" fontId="1" fillId="7" borderId="0" xfId="2" applyNumberFormat="1" applyFont="1" applyFill="1" applyProtection="1"/>
    <xf numFmtId="185" fontId="1" fillId="0" borderId="0" xfId="2" applyNumberFormat="1" applyFont="1" applyProtection="1"/>
    <xf numFmtId="187" fontId="1" fillId="7" borderId="0" xfId="2" applyNumberFormat="1" applyFont="1" applyFill="1" applyProtection="1"/>
    <xf numFmtId="180" fontId="1" fillId="7" borderId="0" xfId="2" applyNumberFormat="1" applyFont="1" applyFill="1" applyProtection="1"/>
    <xf numFmtId="37" fontId="1" fillId="0" borderId="0" xfId="2" applyNumberFormat="1"/>
    <xf numFmtId="0" fontId="7" fillId="0" borderId="0" xfId="2" applyFont="1" applyAlignment="1">
      <alignment horizontal="right"/>
    </xf>
    <xf numFmtId="0" fontId="1" fillId="0" borderId="0" xfId="2" applyFont="1" applyAlignment="1">
      <alignment horizontal="right"/>
    </xf>
    <xf numFmtId="1" fontId="1" fillId="0" borderId="0" xfId="2" applyNumberFormat="1" applyFont="1"/>
    <xf numFmtId="2" fontId="1" fillId="7" borderId="0" xfId="2" applyNumberFormat="1" applyFill="1"/>
    <xf numFmtId="0" fontId="1" fillId="0" borderId="0" xfId="2" applyAlignment="1">
      <alignment horizontal="center"/>
    </xf>
    <xf numFmtId="0" fontId="1" fillId="2" borderId="0" xfId="2" applyFill="1"/>
    <xf numFmtId="183" fontId="1" fillId="2" borderId="0" xfId="2" applyNumberFormat="1" applyFont="1" applyFill="1"/>
    <xf numFmtId="0" fontId="1" fillId="2" borderId="0" xfId="2" applyFont="1" applyFill="1"/>
    <xf numFmtId="2" fontId="1" fillId="0" borderId="0" xfId="2" applyNumberFormat="1" applyFont="1"/>
    <xf numFmtId="3" fontId="1" fillId="0" borderId="0" xfId="2" applyNumberFormat="1" applyFont="1"/>
    <xf numFmtId="43" fontId="1" fillId="0" borderId="0" xfId="3" applyFont="1"/>
    <xf numFmtId="3" fontId="1" fillId="0" borderId="0" xfId="0" applyNumberFormat="1" applyFont="1"/>
    <xf numFmtId="14" fontId="1" fillId="0" borderId="0" xfId="0" applyNumberFormat="1" applyFont="1"/>
    <xf numFmtId="176" fontId="1" fillId="0" borderId="0" xfId="0" applyNumberFormat="1" applyFont="1"/>
    <xf numFmtId="177" fontId="1" fillId="0" borderId="0" xfId="0" applyNumberFormat="1" applyFont="1"/>
    <xf numFmtId="1" fontId="26" fillId="0" borderId="1" xfId="0" applyNumberFormat="1" applyFont="1" applyBorder="1" applyAlignment="1" applyProtection="1">
      <alignment horizontal="center"/>
    </xf>
    <xf numFmtId="1" fontId="27" fillId="0" borderId="1" xfId="0" applyNumberFormat="1" applyFont="1" applyBorder="1" applyAlignment="1" applyProtection="1">
      <alignment horizontal="center"/>
    </xf>
    <xf numFmtId="177" fontId="27" fillId="0" borderId="1" xfId="0" applyNumberFormat="1" applyFont="1" applyBorder="1" applyAlignment="1" applyProtection="1">
      <alignment horizontal="center"/>
    </xf>
    <xf numFmtId="177" fontId="1" fillId="0" borderId="0" xfId="0" applyNumberFormat="1" applyFont="1" applyBorder="1" applyAlignment="1" applyProtection="1">
      <alignment horizontal="center"/>
    </xf>
    <xf numFmtId="1" fontId="1" fillId="0" borderId="0" xfId="0" applyNumberFormat="1" applyFont="1" applyAlignment="1">
      <alignment horizontal="center"/>
    </xf>
    <xf numFmtId="1" fontId="28" fillId="0" borderId="0" xfId="0" quotePrefix="1" applyNumberFormat="1" applyFont="1" applyAlignment="1">
      <alignment horizontal="center"/>
    </xf>
    <xf numFmtId="1" fontId="1" fillId="0" borderId="0" xfId="0" quotePrefix="1" applyNumberFormat="1" applyFont="1" applyAlignment="1">
      <alignment horizontal="right"/>
    </xf>
    <xf numFmtId="177" fontId="1" fillId="0" borderId="0" xfId="1" applyNumberFormat="1" applyFont="1" applyProtection="1"/>
    <xf numFmtId="182" fontId="1" fillId="0" borderId="0" xfId="3" applyNumberFormat="1" applyFont="1"/>
    <xf numFmtId="182" fontId="1" fillId="0" borderId="0" xfId="3" applyNumberFormat="1" applyFont="1" applyProtection="1"/>
    <xf numFmtId="177" fontId="1" fillId="0" borderId="0" xfId="0" applyNumberFormat="1" applyFont="1" applyProtection="1"/>
    <xf numFmtId="1" fontId="28" fillId="0" borderId="0" xfId="0" applyNumberFormat="1" applyFont="1" applyAlignment="1" applyProtection="1">
      <alignment horizontal="center"/>
    </xf>
    <xf numFmtId="1" fontId="1" fillId="0" borderId="0" xfId="0" applyNumberFormat="1" applyFont="1" applyAlignment="1" applyProtection="1">
      <alignment horizontal="center"/>
    </xf>
    <xf numFmtId="1" fontId="1" fillId="0" borderId="0" xfId="0" applyNumberFormat="1" applyFont="1" applyProtection="1">
      <protection locked="0"/>
    </xf>
    <xf numFmtId="1" fontId="1" fillId="0" borderId="0" xfId="0" applyNumberFormat="1" applyFont="1" applyProtection="1"/>
    <xf numFmtId="1" fontId="1" fillId="0" borderId="0" xfId="0" applyNumberFormat="1" applyFont="1" applyAlignment="1">
      <alignment horizontal="right"/>
    </xf>
    <xf numFmtId="1" fontId="1" fillId="0" borderId="0" xfId="0" applyNumberFormat="1" applyFont="1" applyAlignment="1" applyProtection="1">
      <alignment horizontal="left"/>
    </xf>
    <xf numFmtId="37" fontId="1" fillId="0" borderId="0" xfId="0" applyNumberFormat="1" applyFont="1" applyProtection="1">
      <protection locked="0"/>
    </xf>
    <xf numFmtId="0" fontId="28" fillId="0" borderId="0" xfId="0" applyFont="1"/>
    <xf numFmtId="0" fontId="28" fillId="0" borderId="0" xfId="0" applyFont="1" applyAlignment="1">
      <alignment horizontal="center"/>
    </xf>
    <xf numFmtId="1" fontId="1" fillId="0" borderId="1" xfId="0" applyNumberFormat="1" applyFont="1" applyBorder="1" applyAlignment="1">
      <alignment horizontal="center"/>
    </xf>
    <xf numFmtId="0" fontId="1" fillId="6" borderId="0" xfId="0" applyFont="1" applyFill="1"/>
    <xf numFmtId="1" fontId="1" fillId="6" borderId="0" xfId="0" applyNumberFormat="1" applyFont="1" applyFill="1"/>
    <xf numFmtId="9" fontId="1" fillId="0" borderId="0" xfId="0" applyNumberFormat="1" applyFont="1" applyFill="1" applyProtection="1"/>
    <xf numFmtId="9" fontId="1" fillId="0" borderId="0" xfId="0" applyNumberFormat="1" applyFont="1" applyFill="1"/>
    <xf numFmtId="1" fontId="1" fillId="0" borderId="1" xfId="0" applyNumberFormat="1" applyFont="1" applyFill="1" applyBorder="1" applyAlignment="1" applyProtection="1">
      <alignment horizontal="center"/>
    </xf>
    <xf numFmtId="177" fontId="1" fillId="0" borderId="1" xfId="0" applyNumberFormat="1" applyFont="1" applyFill="1" applyBorder="1" applyAlignment="1">
      <alignment horizontal="center"/>
    </xf>
    <xf numFmtId="9" fontId="28" fillId="7" borderId="0" xfId="0" applyNumberFormat="1" applyFont="1" applyFill="1" applyProtection="1"/>
    <xf numFmtId="2" fontId="1" fillId="6" borderId="0" xfId="0" applyNumberFormat="1" applyFont="1" applyFill="1" applyAlignment="1">
      <alignment horizontal="center"/>
    </xf>
    <xf numFmtId="0" fontId="30" fillId="0" borderId="0" xfId="0" applyFont="1" applyAlignment="1">
      <alignment horizontal="center"/>
    </xf>
    <xf numFmtId="0" fontId="3" fillId="6" borderId="5" xfId="0" applyFont="1" applyFill="1" applyBorder="1"/>
    <xf numFmtId="3" fontId="1" fillId="6" borderId="0" xfId="0" applyNumberFormat="1" applyFont="1" applyFill="1"/>
    <xf numFmtId="0" fontId="13" fillId="5" borderId="10" xfId="0" applyFon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186" fontId="13" fillId="5" borderId="11" xfId="0" applyNumberFormat="1" applyFont="1" applyFill="1" applyBorder="1" applyAlignment="1" applyProtection="1">
      <alignment horizontal="center"/>
      <protection locked="0"/>
    </xf>
    <xf numFmtId="186" fontId="13" fillId="5" borderId="13" xfId="0" applyNumberFormat="1" applyFont="1" applyFill="1" applyBorder="1" applyAlignment="1" applyProtection="1">
      <alignment horizontal="center"/>
      <protection locked="0"/>
    </xf>
    <xf numFmtId="184" fontId="13" fillId="0" borderId="0" xfId="14" applyFont="1" applyAlignment="1">
      <alignment wrapText="1"/>
    </xf>
    <xf numFmtId="1" fontId="1" fillId="0" borderId="0" xfId="0" applyNumberFormat="1" applyFont="1" applyFill="1" applyAlignment="1">
      <alignment horizontal="right"/>
    </xf>
    <xf numFmtId="2" fontId="28" fillId="0" borderId="1" xfId="0" applyNumberFormat="1" applyFont="1" applyBorder="1" applyAlignment="1" applyProtection="1">
      <alignment horizontal="center" vertical="center" wrapText="1"/>
    </xf>
    <xf numFmtId="178" fontId="28" fillId="0" borderId="1" xfId="2" applyNumberFormat="1" applyFont="1" applyBorder="1" applyAlignment="1" applyProtection="1">
      <alignment horizontal="center" vertical="center" wrapText="1"/>
    </xf>
    <xf numFmtId="0" fontId="12" fillId="3" borderId="3" xfId="5" applyFont="1" applyFill="1" applyBorder="1" applyAlignment="1">
      <alignment horizontal="center"/>
    </xf>
    <xf numFmtId="0" fontId="13" fillId="0" borderId="0" xfId="0" applyFont="1"/>
    <xf numFmtId="0" fontId="13" fillId="0" borderId="0" xfId="5" applyFont="1" applyFill="1" applyAlignment="1">
      <alignment horizontal="left"/>
    </xf>
    <xf numFmtId="184" fontId="14" fillId="0" borderId="4" xfId="4" applyNumberFormat="1" applyFont="1" applyFill="1" applyBorder="1" applyAlignment="1" applyProtection="1">
      <alignment horizontal="left"/>
      <protection locked="0"/>
    </xf>
    <xf numFmtId="184" fontId="14" fillId="0" borderId="0" xfId="4" applyNumberFormat="1" applyFont="1" applyFill="1" applyBorder="1" applyAlignment="1" applyProtection="1">
      <alignment horizontal="left"/>
      <protection locked="0"/>
    </xf>
    <xf numFmtId="0" fontId="13" fillId="0" borderId="0" xfId="2" applyFont="1" applyAlignment="1">
      <alignment horizontal="left" vertical="top" wrapText="1"/>
    </xf>
    <xf numFmtId="0" fontId="12" fillId="0" borderId="7" xfId="0" applyFont="1" applyBorder="1" applyAlignment="1">
      <alignment horizontal="center"/>
    </xf>
    <xf numFmtId="0" fontId="12" fillId="0" borderId="8" xfId="0" applyFont="1" applyBorder="1" applyAlignment="1">
      <alignment horizontal="center"/>
    </xf>
  </cellXfs>
  <cellStyles count="40">
    <cellStyle name="Comma" xfId="3" builtinId="3"/>
    <cellStyle name="Comma 2" xfId="7"/>
    <cellStyle name="Comma 3" xfId="8"/>
    <cellStyle name="Comma 4" xfId="15"/>
    <cellStyle name="Hyperlink" xfId="4" builtinId="8"/>
    <cellStyle name="Normal" xfId="0" builtinId="0"/>
    <cellStyle name="Normal 2" xfId="2"/>
    <cellStyle name="Normal 2 10" xfId="36"/>
    <cellStyle name="Normal 2 11" xfId="39"/>
    <cellStyle name="Normal 2 2" xfId="1"/>
    <cellStyle name="Normal 2 2 2" xfId="16"/>
    <cellStyle name="Normal 2 3" xfId="9"/>
    <cellStyle name="Normal 2 4" xfId="10"/>
    <cellStyle name="Normal 2 5" xfId="22"/>
    <cellStyle name="Normal 2 6" xfId="26"/>
    <cellStyle name="Normal 2 7" xfId="29"/>
    <cellStyle name="Normal 2 8" xfId="19"/>
    <cellStyle name="Normal 2 9" xfId="30"/>
    <cellStyle name="Normal 3" xfId="6"/>
    <cellStyle name="Normal 3 2" xfId="11"/>
    <cellStyle name="Normal 3 2 10" xfId="37"/>
    <cellStyle name="Normal 3 2 2" xfId="5"/>
    <cellStyle name="Normal 3 2 3" xfId="20"/>
    <cellStyle name="Normal 3 2 4" xfId="17"/>
    <cellStyle name="Normal 3 2 5" xfId="24"/>
    <cellStyle name="Normal 3 2 6" xfId="27"/>
    <cellStyle name="Normal 3 2 7" xfId="21"/>
    <cellStyle name="Normal 3 2 8" xfId="32"/>
    <cellStyle name="Normal 3 2 9" xfId="34"/>
    <cellStyle name="Normal 3 3" xfId="12"/>
    <cellStyle name="Normal 3 3 2" xfId="23"/>
    <cellStyle name="Normal 3 3 3" xfId="18"/>
    <cellStyle name="Normal 3 3 4" xfId="25"/>
    <cellStyle name="Normal 3 3 5" xfId="28"/>
    <cellStyle name="Normal 3 3 6" xfId="33"/>
    <cellStyle name="Normal 3 3 7" xfId="31"/>
    <cellStyle name="Normal 3 3 8" xfId="35"/>
    <cellStyle name="Normal 3 3 9" xfId="38"/>
    <cellStyle name="Normal 4" xfId="13"/>
    <cellStyle name="Normal 5" xfId="14"/>
  </cellStyles>
  <dxfs count="0"/>
  <tableStyles count="0" defaultTableStyle="TableStyleMedium9" defaultPivotStyle="PivotStyleLight16"/>
  <colors>
    <mruColors>
      <color rgb="FFD7E6E6"/>
      <color rgb="FFFFEB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634193057582"/>
          <c:y val="8.6842105263157901E-2"/>
          <c:w val="0.81583940463751692"/>
          <c:h val="0.72368421052632126"/>
        </c:manualLayout>
      </c:layout>
      <c:lineChart>
        <c:grouping val="standard"/>
        <c:varyColors val="0"/>
        <c:ser>
          <c:idx val="0"/>
          <c:order val="0"/>
          <c:tx>
            <c:strRef>
              <c:f>Method!$K$6</c:f>
              <c:strCache>
                <c:ptCount val="1"/>
                <c:pt idx="0">
                  <c:v>完整率 c: 5Nx</c:v>
                </c:pt>
              </c:strCache>
            </c:strRef>
          </c:tx>
          <c:spPr>
            <a:ln w="12700">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0.68226402075343273</c:v>
                </c:pt>
                <c:pt idx="2">
                  <c:v>0.67984262697114417</c:v>
                </c:pt>
                <c:pt idx="3">
                  <c:v>0.69408694324731979</c:v>
                </c:pt>
                <c:pt idx="4">
                  <c:v>0.72565754830852447</c:v>
                </c:pt>
                <c:pt idx="5">
                  <c:v>0.75660391247555514</c:v>
                </c:pt>
                <c:pt idx="6">
                  <c:v>0.77727397686159472</c:v>
                </c:pt>
                <c:pt idx="7">
                  <c:v>0.75724912023794555</c:v>
                </c:pt>
                <c:pt idx="8">
                  <c:v>0.76187967241077381</c:v>
                </c:pt>
                <c:pt idx="9">
                  <c:v>0.77520634834583768</c:v>
                </c:pt>
                <c:pt idx="10">
                  <c:v>0.77318165768392555</c:v>
                </c:pt>
                <c:pt idx="11">
                  <c:v>0.75651720555370328</c:v>
                </c:pt>
                <c:pt idx="12">
                  <c:v>0.70096567450160652</c:v>
                </c:pt>
                <c:pt idx="13">
                  <c:v>0.70315155190849354</c:v>
                </c:pt>
                <c:pt idx="14">
                  <c:v>0.69917564547202993</c:v>
                </c:pt>
                <c:pt idx="15">
                  <c:v>0.75700539000507394</c:v>
                </c:pt>
                <c:pt idx="16">
                  <c:v>0.73348974271558309</c:v>
                </c:pt>
              </c:numCache>
            </c:numRef>
          </c:val>
          <c:smooth val="0"/>
          <c:extLst>
            <c:ext xmlns:c16="http://schemas.microsoft.com/office/drawing/2014/chart" uri="{C3380CC4-5D6E-409C-BE32-E72D297353CC}">
              <c16:uniqueId val="{00000000-0F6D-4822-92DF-8CF0D1B7742B}"/>
            </c:ext>
          </c:extLst>
        </c:ser>
        <c:ser>
          <c:idx val="1"/>
          <c:order val="1"/>
          <c:tx>
            <c:strRef>
              <c:f>Method!$L$6</c:f>
              <c:strCache>
                <c:ptCount val="1"/>
                <c:pt idx="0">
                  <c:v>完整率 c:   A-xNx</c:v>
                </c:pt>
              </c:strCache>
            </c:strRef>
          </c:tx>
          <c:spPr>
            <a:ln w="12700">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0.72829896728276089</c:v>
                </c:pt>
                <c:pt idx="2">
                  <c:v>0.73426773632839359</c:v>
                </c:pt>
                <c:pt idx="3">
                  <c:v>0.7424774213776838</c:v>
                </c:pt>
                <c:pt idx="4">
                  <c:v>0.75113834604198881</c:v>
                </c:pt>
                <c:pt idx="5">
                  <c:v>0.75610220671788331</c:v>
                </c:pt>
                <c:pt idx="6">
                  <c:v>0.7559984562592672</c:v>
                </c:pt>
                <c:pt idx="7">
                  <c:v>0.75122443381895554</c:v>
                </c:pt>
                <c:pt idx="8">
                  <c:v>0.74966507831506113</c:v>
                </c:pt>
                <c:pt idx="9">
                  <c:v>0.74605503447022892</c:v>
                </c:pt>
                <c:pt idx="10">
                  <c:v>0.73659015865573174</c:v>
                </c:pt>
                <c:pt idx="11">
                  <c:v>0.72369887625882612</c:v>
                </c:pt>
                <c:pt idx="12">
                  <c:v>0.71146182078133358</c:v>
                </c:pt>
                <c:pt idx="13">
                  <c:v>0.71634093256867259</c:v>
                </c:pt>
                <c:pt idx="14">
                  <c:v>0.72439476543328152</c:v>
                </c:pt>
                <c:pt idx="15">
                  <c:v>0.74766876085620437</c:v>
                </c:pt>
                <c:pt idx="16">
                  <c:v>0.73348974271558309</c:v>
                </c:pt>
              </c:numCache>
            </c:numRef>
          </c:val>
          <c:smooth val="0"/>
          <c:extLst>
            <c:ext xmlns:c16="http://schemas.microsoft.com/office/drawing/2014/chart" uri="{C3380CC4-5D6E-409C-BE32-E72D297353CC}">
              <c16:uniqueId val="{00000001-0F6D-4822-92DF-8CF0D1B7742B}"/>
            </c:ext>
          </c:extLst>
        </c:ser>
        <c:dLbls>
          <c:showLegendKey val="0"/>
          <c:showVal val="0"/>
          <c:showCatName val="0"/>
          <c:showSerName val="0"/>
          <c:showPercent val="0"/>
          <c:showBubbleSize val="0"/>
        </c:dLbls>
        <c:smooth val="0"/>
        <c:axId val="91593344"/>
        <c:axId val="91890048"/>
      </c:lineChart>
      <c:catAx>
        <c:axId val="91593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zh-CN"/>
          </a:p>
        </c:txPr>
        <c:crossAx val="91890048"/>
        <c:crossesAt val="1"/>
        <c:auto val="0"/>
        <c:lblAlgn val="ctr"/>
        <c:lblOffset val="100"/>
        <c:tickLblSkip val="2"/>
        <c:tickMarkSkip val="1"/>
        <c:noMultiLvlLbl val="0"/>
      </c:catAx>
      <c:valAx>
        <c:axId val="91890048"/>
        <c:scaling>
          <c:orientation val="minMax"/>
          <c:max val="1.5"/>
          <c:min val="0.5"/>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550" b="0" i="0" u="none" strike="noStrike" baseline="0">
                <a:solidFill>
                  <a:srgbClr val="000000"/>
                </a:solidFill>
                <a:latin typeface="Times New Roman"/>
                <a:ea typeface="Times New Roman"/>
                <a:cs typeface="Times New Roman"/>
              </a:defRPr>
            </a:pPr>
            <a:endParaRPr lang="zh-CN"/>
          </a:p>
        </c:txPr>
        <c:crossAx val="91593344"/>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118E-2"/>
        </c:manualLayout>
      </c:layout>
      <c:overlay val="0"/>
      <c:spPr>
        <a:solidFill>
          <a:srgbClr val="FFFFFF"/>
        </a:solid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16852049210012"/>
          <c:y val="5.9548314325103414E-2"/>
          <c:w val="0.70686994940349934"/>
          <c:h val="0.71826785676723626"/>
        </c:manualLayout>
      </c:layout>
      <c:scatterChart>
        <c:scatterStyle val="lineMarker"/>
        <c:varyColors val="0"/>
        <c:ser>
          <c:idx val="0"/>
          <c:order val="0"/>
          <c:tx>
            <c:strRef>
              <c:f>'Life expectancies'!$J$5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expectancies'!$J$9:$J$25</c:f>
              <c:numCache>
                <c:formatCode>0.0000_)</c:formatCode>
                <c:ptCount val="17"/>
                <c:pt idx="0">
                  <c:v>-2.2455979447551937</c:v>
                </c:pt>
                <c:pt idx="1">
                  <c:v>-1.9925635522046139</c:v>
                </c:pt>
                <c:pt idx="2">
                  <c:v>-1.6614957031656785</c:v>
                </c:pt>
                <c:pt idx="3">
                  <c:v>-1.2073651254916449</c:v>
                </c:pt>
                <c:pt idx="4">
                  <c:v>-0.82253181908225492</c:v>
                </c:pt>
                <c:pt idx="5">
                  <c:v>-0.54813103927243634</c:v>
                </c:pt>
                <c:pt idx="6">
                  <c:v>-0.37127834637840595</c:v>
                </c:pt>
                <c:pt idx="7">
                  <c:v>-0.23920255977104521</c:v>
                </c:pt>
                <c:pt idx="8">
                  <c:v>-0.13439644460064015</c:v>
                </c:pt>
                <c:pt idx="9">
                  <c:v>-2.9719593330562444E-2</c:v>
                </c:pt>
                <c:pt idx="10">
                  <c:v>6.1745298085542015E-2</c:v>
                </c:pt>
                <c:pt idx="11">
                  <c:v>0.17950645559521194</c:v>
                </c:pt>
                <c:pt idx="12">
                  <c:v>0.3162187630856208</c:v>
                </c:pt>
                <c:pt idx="13">
                  <c:v>0.48024231086936625</c:v>
                </c:pt>
                <c:pt idx="14">
                  <c:v>0.66824993363079699</c:v>
                </c:pt>
                <c:pt idx="15">
                  <c:v>0.9243306009775526</c:v>
                </c:pt>
                <c:pt idx="16">
                  <c:v>#N/A</c:v>
                </c:pt>
              </c:numCache>
            </c:numRef>
          </c:yVal>
          <c:smooth val="0"/>
          <c:extLst>
            <c:ext xmlns:c16="http://schemas.microsoft.com/office/drawing/2014/chart" uri="{C3380CC4-5D6E-409C-BE32-E72D297353CC}">
              <c16:uniqueId val="{00000000-34F6-48B1-9E31-F6F55DD40316}"/>
            </c:ext>
          </c:extLst>
        </c:ser>
        <c:ser>
          <c:idx val="1"/>
          <c:order val="1"/>
          <c:tx>
            <c:strRef>
              <c:f>'Life expectancies'!$M$5</c:f>
              <c:strCache>
                <c:ptCount val="1"/>
                <c:pt idx="0">
                  <c:v>拟合的 Y(x)</c:v>
                </c:pt>
              </c:strCache>
            </c:strRef>
          </c:tx>
          <c:spPr>
            <a:ln w="12700">
              <a:solidFill>
                <a:srgbClr val="FF00FF"/>
              </a:solidFill>
              <a:prstDash val="solid"/>
            </a:ln>
          </c:spPr>
          <c:marker>
            <c:symbol val="none"/>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expectancies'!$M$9:$M$25</c:f>
              <c:numCache>
                <c:formatCode>0.0000_)</c:formatCode>
                <c:ptCount val="17"/>
                <c:pt idx="0">
                  <c:v>-1.6413361404431082</c:v>
                </c:pt>
                <c:pt idx="1">
                  <c:v>-1.4708000424419654</c:v>
                </c:pt>
                <c:pt idx="2">
                  <c:v>-1.2418568549082687</c:v>
                </c:pt>
                <c:pt idx="3">
                  <c:v>-0.95942372342790039</c:v>
                </c:pt>
                <c:pt idx="4">
                  <c:v>-0.66633024040942246</c:v>
                </c:pt>
                <c:pt idx="5">
                  <c:v>-0.44198111325802825</c:v>
                </c:pt>
                <c:pt idx="6">
                  <c:v>-0.29139890210946062</c:v>
                </c:pt>
                <c:pt idx="7">
                  <c:v>-0.19038810224579783</c:v>
                </c:pt>
                <c:pt idx="8">
                  <c:v>-0.11608266087166663</c:v>
                </c:pt>
                <c:pt idx="9">
                  <c:v>-4.3930811391103386E-2</c:v>
                </c:pt>
                <c:pt idx="10">
                  <c:v>3.7155811066819977E-2</c:v>
                </c:pt>
                <c:pt idx="11">
                  <c:v>0.1436651945268253</c:v>
                </c:pt>
                <c:pt idx="12">
                  <c:v>0.29107079850553313</c:v>
                </c:pt>
                <c:pt idx="13">
                  <c:v>0.47535837229874933</c:v>
                </c:pt>
                <c:pt idx="14">
                  <c:v>0.70579556167492974</c:v>
                </c:pt>
                <c:pt idx="15">
                  <c:v>1.0055123655866414</c:v>
                </c:pt>
                <c:pt idx="16">
                  <c:v>1.4065960649249267</c:v>
                </c:pt>
              </c:numCache>
            </c:numRef>
          </c:yVal>
          <c:smooth val="0"/>
          <c:extLst>
            <c:ext xmlns:c16="http://schemas.microsoft.com/office/drawing/2014/chart" uri="{C3380CC4-5D6E-409C-BE32-E72D297353CC}">
              <c16:uniqueId val="{00000001-34F6-48B1-9E31-F6F55DD40316}"/>
            </c:ext>
          </c:extLst>
        </c:ser>
        <c:dLbls>
          <c:showLegendKey val="0"/>
          <c:showVal val="0"/>
          <c:showCatName val="0"/>
          <c:showSerName val="0"/>
          <c:showPercent val="0"/>
          <c:showBubbleSize val="0"/>
        </c:dLbls>
        <c:axId val="92545792"/>
        <c:axId val="92548096"/>
      </c:scatterChart>
      <c:valAx>
        <c:axId val="92545792"/>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8096"/>
        <c:crossesAt val="0"/>
        <c:crossBetween val="midCat"/>
      </c:valAx>
      <c:valAx>
        <c:axId val="925480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64"/>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5792"/>
        <c:crossesAt val="0"/>
        <c:crossBetween val="midCat"/>
      </c:valAx>
      <c:spPr>
        <a:noFill/>
        <a:ln w="25400">
          <a:noFill/>
        </a:ln>
      </c:spPr>
    </c:plotArea>
    <c:legend>
      <c:legendPos val="b"/>
      <c:layout>
        <c:manualLayout>
          <c:xMode val="edge"/>
          <c:yMode val="edge"/>
          <c:x val="0.34117677937317048"/>
          <c:y val="0.92402550297229269"/>
          <c:w val="0.23823549997426982"/>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chemeClr val="bg1"/>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08E-2"/>
          <c:w val="0.63851371287392689"/>
          <c:h val="0.82426054102108159"/>
        </c:manualLayout>
      </c:layout>
      <c:scatterChart>
        <c:scatterStyle val="lineMarker"/>
        <c:varyColors val="0"/>
        <c:ser>
          <c:idx val="1"/>
          <c:order val="0"/>
          <c:tx>
            <c:v>平滑值</c:v>
          </c:tx>
          <c:spPr>
            <a:ln w="15875">
              <a:solidFill>
                <a:srgbClr val="FF00FF"/>
              </a:solidFill>
            </a:ln>
          </c:spPr>
          <c:marker>
            <c:symbol val="none"/>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7.3673276160993798E-3</c:v>
                </c:pt>
                <c:pt idx="1">
                  <c:v>2.9188734546035729E-3</c:v>
                </c:pt>
                <c:pt idx="2">
                  <c:v>5.7394245023584985E-3</c:v>
                </c:pt>
                <c:pt idx="3">
                  <c:v>1.136094997257376E-2</c:v>
                </c:pt>
                <c:pt idx="4">
                  <c:v>1.9414407371151337E-2</c:v>
                </c:pt>
                <c:pt idx="5">
                  <c:v>2.2319425692027595E-2</c:v>
                </c:pt>
                <c:pt idx="6">
                  <c:v>1.9544675152684092E-2</c:v>
                </c:pt>
                <c:pt idx="7">
                  <c:v>1.5423769459477337E-2</c:v>
                </c:pt>
                <c:pt idx="8">
                  <c:v>1.2598348748001302E-2</c:v>
                </c:pt>
                <c:pt idx="9">
                  <c:v>1.3273920794419086E-2</c:v>
                </c:pt>
                <c:pt idx="10">
                  <c:v>1.6153628483204664E-2</c:v>
                </c:pt>
                <c:pt idx="11">
                  <c:v>2.3194710996720637E-2</c:v>
                </c:pt>
                <c:pt idx="12">
                  <c:v>3.5684318341865189E-2</c:v>
                </c:pt>
                <c:pt idx="13">
                  <c:v>5.0032440831366175E-2</c:v>
                </c:pt>
                <c:pt idx="14">
                  <c:v>6.9731044020419033E-2</c:v>
                </c:pt>
                <c:pt idx="15">
                  <c:v>9.9267088700506989E-2</c:v>
                </c:pt>
                <c:pt idx="16">
                  <c:v>0.14069116417936858</c:v>
                </c:pt>
              </c:numCache>
            </c:numRef>
          </c:yVal>
          <c:smooth val="0"/>
          <c:extLst>
            <c:ext xmlns:c16="http://schemas.microsoft.com/office/drawing/2014/chart" uri="{C3380CC4-5D6E-409C-BE32-E72D297353CC}">
              <c16:uniqueId val="{00000000-6B6E-43EC-B956-9D6279EDC084}"/>
            </c:ext>
          </c:extLst>
        </c:ser>
        <c:ser>
          <c:idx val="0"/>
          <c:order val="1"/>
          <c:tx>
            <c:v>修正值</c:v>
          </c:tx>
          <c:spPr>
            <a:ln>
              <a:noFill/>
            </a:ln>
          </c:spPr>
          <c:marker>
            <c:symbol val="diamond"/>
            <c:size val="5"/>
            <c:spPr>
              <a:solidFill>
                <a:schemeClr val="tx2"/>
              </a:solidFill>
              <a:ln>
                <a:solidFill>
                  <a:schemeClr val="tx2"/>
                </a:solidFill>
              </a:ln>
            </c:spPr>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2.2289564187878415E-3</c:v>
                </c:pt>
                <c:pt idx="1">
                  <c:v>1.4548936603392285E-3</c:v>
                </c:pt>
                <c:pt idx="2">
                  <c:v>3.3981247025217905E-3</c:v>
                </c:pt>
                <c:pt idx="3">
                  <c:v>1.0039652286743847E-2</c:v>
                </c:pt>
                <c:pt idx="4">
                  <c:v>1.815794019424731E-2</c:v>
                </c:pt>
                <c:pt idx="5">
                  <c:v>2.2336492596005033E-2</c:v>
                </c:pt>
                <c:pt idx="6">
                  <c:v>2.0181823618727182E-2</c:v>
                </c:pt>
                <c:pt idx="7">
                  <c:v>1.8590557524899763E-2</c:v>
                </c:pt>
                <c:pt idx="8">
                  <c:v>1.7083613353959394E-2</c:v>
                </c:pt>
                <c:pt idx="9">
                  <c:v>1.9208069045380909E-2</c:v>
                </c:pt>
                <c:pt idx="10">
                  <c:v>1.8572308585866608E-2</c:v>
                </c:pt>
                <c:pt idx="11">
                  <c:v>2.6338161054597527E-2</c:v>
                </c:pt>
                <c:pt idx="12">
                  <c:v>3.3892994465698108E-2</c:v>
                </c:pt>
                <c:pt idx="13">
                  <c:v>4.5003978430521556E-2</c:v>
                </c:pt>
                <c:pt idx="14">
                  <c:v>5.667110627007229E-2</c:v>
                </c:pt>
                <c:pt idx="15">
                  <c:v>8.3757795901447621E-2</c:v>
                </c:pt>
                <c:pt idx="16">
                  <c:v>0.15901488777325157</c:v>
                </c:pt>
              </c:numCache>
            </c:numRef>
          </c:yVal>
          <c:smooth val="0"/>
          <c:extLst>
            <c:ext xmlns:c16="http://schemas.microsoft.com/office/drawing/2014/chart" uri="{C3380CC4-5D6E-409C-BE32-E72D297353CC}">
              <c16:uniqueId val="{00000001-6B6E-43EC-B956-9D6279EDC084}"/>
            </c:ext>
          </c:extLst>
        </c:ser>
        <c:dLbls>
          <c:showLegendKey val="0"/>
          <c:showVal val="0"/>
          <c:showCatName val="0"/>
          <c:showSerName val="0"/>
          <c:showPercent val="0"/>
          <c:showBubbleSize val="0"/>
        </c:dLbls>
        <c:axId val="92575616"/>
        <c:axId val="92590080"/>
      </c:scatterChart>
      <c:valAx>
        <c:axId val="92575616"/>
        <c:scaling>
          <c:orientation val="minMax"/>
          <c:max val="85"/>
          <c:min val="0"/>
        </c:scaling>
        <c:delete val="0"/>
        <c:axPos val="b"/>
        <c:numFmt formatCode="General" sourceLinked="1"/>
        <c:majorTickMark val="out"/>
        <c:minorTickMark val="none"/>
        <c:tickLblPos val="nextTo"/>
        <c:crossAx val="92590080"/>
        <c:crosses val="autoZero"/>
        <c:crossBetween val="midCat"/>
      </c:valAx>
      <c:valAx>
        <c:axId val="9259008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575616"/>
        <c:crosses val="autoZero"/>
        <c:crossBetween val="midCat"/>
      </c:valAx>
    </c:plotArea>
    <c:legend>
      <c:legendPos val="r"/>
      <c:layout>
        <c:manualLayout>
          <c:xMode val="edge"/>
          <c:yMode val="edge"/>
          <c:x val="0.77007891790050265"/>
          <c:y val="0.42708502667005332"/>
          <c:w val="0.21637706404080981"/>
          <c:h val="0.36032565740603184"/>
        </c:manualLayout>
      </c:layout>
      <c:overlay val="0"/>
      <c:spPr>
        <a:solidFill>
          <a:srgbClr val="FFEB9B"/>
        </a:solidFill>
      </c:spPr>
    </c:legend>
    <c:plotVisOnly val="1"/>
    <c:dispBlanksAs val="gap"/>
    <c:showDLblsOverMax val="0"/>
  </c:chart>
  <c:spPr>
    <a:solidFill>
      <a:schemeClr val="bg1"/>
    </a:solidFill>
    <a:ln>
      <a:noFill/>
    </a:ln>
  </c:sp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03030796972261"/>
          <c:y val="7.74749533915286E-2"/>
          <c:w val="0.85077252213245869"/>
          <c:h val="0.8188352238077814"/>
        </c:manualLayout>
      </c:layout>
      <c:lineChart>
        <c:grouping val="standard"/>
        <c:varyColors val="0"/>
        <c:ser>
          <c:idx val="0"/>
          <c:order val="0"/>
          <c:tx>
            <c:v>完整率 c: N(x to x+5)</c:v>
          </c:tx>
          <c:spPr>
            <a:ln w="28575">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0.68226402075343273</c:v>
                </c:pt>
                <c:pt idx="2">
                  <c:v>0.67984262697114417</c:v>
                </c:pt>
                <c:pt idx="3">
                  <c:v>0.69408694324731979</c:v>
                </c:pt>
                <c:pt idx="4">
                  <c:v>0.72565754830852447</c:v>
                </c:pt>
                <c:pt idx="5">
                  <c:v>0.75660391247555514</c:v>
                </c:pt>
                <c:pt idx="6">
                  <c:v>0.77727397686159472</c:v>
                </c:pt>
                <c:pt idx="7">
                  <c:v>0.75724912023794555</c:v>
                </c:pt>
                <c:pt idx="8">
                  <c:v>0.76187967241077381</c:v>
                </c:pt>
                <c:pt idx="9">
                  <c:v>0.77520634834583768</c:v>
                </c:pt>
                <c:pt idx="10">
                  <c:v>0.77318165768392555</c:v>
                </c:pt>
                <c:pt idx="11">
                  <c:v>0.75651720555370328</c:v>
                </c:pt>
                <c:pt idx="12">
                  <c:v>0.70096567450160652</c:v>
                </c:pt>
                <c:pt idx="13">
                  <c:v>0.70315155190849354</c:v>
                </c:pt>
                <c:pt idx="14">
                  <c:v>0.69917564547202993</c:v>
                </c:pt>
                <c:pt idx="15">
                  <c:v>0.75700539000507394</c:v>
                </c:pt>
                <c:pt idx="16">
                  <c:v>0.73348974271558309</c:v>
                </c:pt>
              </c:numCache>
            </c:numRef>
          </c:val>
          <c:smooth val="0"/>
          <c:extLst>
            <c:ext xmlns:c16="http://schemas.microsoft.com/office/drawing/2014/chart" uri="{C3380CC4-5D6E-409C-BE32-E72D297353CC}">
              <c16:uniqueId val="{00000000-ECA4-4F4C-A305-2E90C1B6483F}"/>
            </c:ext>
          </c:extLst>
        </c:ser>
        <c:ser>
          <c:idx val="1"/>
          <c:order val="1"/>
          <c:tx>
            <c:v>完整率 c: N(x to A)</c:v>
          </c:tx>
          <c:spPr>
            <a:ln w="28575">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0.72829896728276089</c:v>
                </c:pt>
                <c:pt idx="2">
                  <c:v>0.73426773632839359</c:v>
                </c:pt>
                <c:pt idx="3">
                  <c:v>0.7424774213776838</c:v>
                </c:pt>
                <c:pt idx="4">
                  <c:v>0.75113834604198881</c:v>
                </c:pt>
                <c:pt idx="5">
                  <c:v>0.75610220671788331</c:v>
                </c:pt>
                <c:pt idx="6">
                  <c:v>0.7559984562592672</c:v>
                </c:pt>
                <c:pt idx="7">
                  <c:v>0.75122443381895554</c:v>
                </c:pt>
                <c:pt idx="8">
                  <c:v>0.74966507831506113</c:v>
                </c:pt>
                <c:pt idx="9">
                  <c:v>0.74605503447022892</c:v>
                </c:pt>
                <c:pt idx="10">
                  <c:v>0.73659015865573174</c:v>
                </c:pt>
                <c:pt idx="11">
                  <c:v>0.72369887625882612</c:v>
                </c:pt>
                <c:pt idx="12">
                  <c:v>0.71146182078133358</c:v>
                </c:pt>
                <c:pt idx="13">
                  <c:v>0.71634093256867259</c:v>
                </c:pt>
                <c:pt idx="14">
                  <c:v>0.72439476543328152</c:v>
                </c:pt>
                <c:pt idx="15">
                  <c:v>0.74766876085620437</c:v>
                </c:pt>
                <c:pt idx="16">
                  <c:v>0.73348974271558309</c:v>
                </c:pt>
              </c:numCache>
            </c:numRef>
          </c:val>
          <c:smooth val="0"/>
          <c:extLst>
            <c:ext xmlns:c16="http://schemas.microsoft.com/office/drawing/2014/chart" uri="{C3380CC4-5D6E-409C-BE32-E72D297353CC}">
              <c16:uniqueId val="{00000001-ECA4-4F4C-A305-2E90C1B6483F}"/>
            </c:ext>
          </c:extLst>
        </c:ser>
        <c:dLbls>
          <c:showLegendKey val="0"/>
          <c:showVal val="0"/>
          <c:showCatName val="0"/>
          <c:showSerName val="0"/>
          <c:showPercent val="0"/>
          <c:showBubbleSize val="0"/>
        </c:dLbls>
        <c:smooth val="0"/>
        <c:axId val="92616576"/>
        <c:axId val="92618112"/>
      </c:lineChart>
      <c:catAx>
        <c:axId val="926165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8112"/>
        <c:crossesAt val="1"/>
        <c:auto val="0"/>
        <c:lblAlgn val="ctr"/>
        <c:lblOffset val="100"/>
        <c:tickLblSkip val="2"/>
        <c:tickMarkSkip val="1"/>
        <c:noMultiLvlLbl val="0"/>
      </c:catAx>
      <c:valAx>
        <c:axId val="92618112"/>
        <c:scaling>
          <c:orientation val="minMax"/>
          <c:max val="1.5"/>
          <c:min val="0.5"/>
        </c:scaling>
        <c:delete val="0"/>
        <c:axPos val="l"/>
        <c:majorGridlines>
          <c:spPr>
            <a:ln w="3175">
              <a:solidFill>
                <a:srgbClr val="C0C0C0"/>
              </a:solidFill>
              <a:prstDash val="sysDash"/>
            </a:ln>
          </c:spPr>
        </c:majorGridlines>
        <c:title>
          <c:tx>
            <c:rich>
              <a:bodyPr rot="0" vert="eaVert"/>
              <a:lstStyle/>
              <a:p>
                <a:pPr>
                  <a:defRPr/>
                </a:pPr>
                <a:r>
                  <a:rPr lang="zh-CN" altLang="en-US" b="1" i="0" baseline="0">
                    <a:latin typeface="Verdana" pitchFamily="34" charset="0"/>
                  </a:rPr>
                  <a:t>完整率</a:t>
                </a:r>
                <a:endParaRPr lang="en-US" b="1" i="0" baseline="0">
                  <a:latin typeface="Verdana" pitchFamily="34" charset="0"/>
                </a:endParaRPr>
              </a:p>
            </c:rich>
          </c:tx>
          <c:overlay val="0"/>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6576"/>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215E-2"/>
        </c:manualLayout>
      </c:layout>
      <c:overlay val="0"/>
      <c:spPr>
        <a:no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D7E6E6"/>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08"/>
          <c:y val="0.15722823340825598"/>
          <c:w val="0.75212009351544584"/>
          <c:h val="0.63414005192270861"/>
        </c:manualLayout>
      </c:layout>
      <c:scatterChart>
        <c:scatterStyle val="lineMarker"/>
        <c:varyColors val="0"/>
        <c:ser>
          <c:idx val="0"/>
          <c:order val="0"/>
          <c:tx>
            <c:v>观测值</c:v>
          </c:tx>
          <c:spPr>
            <a:ln>
              <a:noFill/>
            </a:ln>
          </c:spPr>
          <c:marker>
            <c:symbol val="square"/>
            <c:size val="5"/>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expectancies'!$J$9:$J$25</c:f>
              <c:numCache>
                <c:formatCode>0.0000_)</c:formatCode>
                <c:ptCount val="17"/>
                <c:pt idx="0">
                  <c:v>-2.2455979447551937</c:v>
                </c:pt>
                <c:pt idx="1">
                  <c:v>-1.9925635522046139</c:v>
                </c:pt>
                <c:pt idx="2">
                  <c:v>-1.6614957031656785</c:v>
                </c:pt>
                <c:pt idx="3">
                  <c:v>-1.2073651254916449</c:v>
                </c:pt>
                <c:pt idx="4">
                  <c:v>-0.82253181908225492</c:v>
                </c:pt>
                <c:pt idx="5">
                  <c:v>-0.54813103927243634</c:v>
                </c:pt>
                <c:pt idx="6">
                  <c:v>-0.37127834637840595</c:v>
                </c:pt>
                <c:pt idx="7">
                  <c:v>-0.23920255977104521</c:v>
                </c:pt>
                <c:pt idx="8">
                  <c:v>-0.13439644460064015</c:v>
                </c:pt>
                <c:pt idx="9">
                  <c:v>-2.9719593330562444E-2</c:v>
                </c:pt>
                <c:pt idx="10">
                  <c:v>6.1745298085542015E-2</c:v>
                </c:pt>
                <c:pt idx="11">
                  <c:v>0.17950645559521194</c:v>
                </c:pt>
                <c:pt idx="12">
                  <c:v>0.3162187630856208</c:v>
                </c:pt>
                <c:pt idx="13">
                  <c:v>0.48024231086936625</c:v>
                </c:pt>
                <c:pt idx="14">
                  <c:v>0.66824993363079699</c:v>
                </c:pt>
                <c:pt idx="15">
                  <c:v>0.9243306009775526</c:v>
                </c:pt>
                <c:pt idx="16">
                  <c:v>#N/A</c:v>
                </c:pt>
              </c:numCache>
            </c:numRef>
          </c:yVal>
          <c:smooth val="0"/>
          <c:extLst>
            <c:ext xmlns:c16="http://schemas.microsoft.com/office/drawing/2014/chart" uri="{C3380CC4-5D6E-409C-BE32-E72D297353CC}">
              <c16:uniqueId val="{00000000-6930-4BD7-8B32-DDE7B6CEC862}"/>
            </c:ext>
          </c:extLst>
        </c:ser>
        <c:ser>
          <c:idx val="1"/>
          <c:order val="1"/>
          <c:tx>
            <c:v>拟合值</c:v>
          </c:tx>
          <c:spPr>
            <a:ln>
              <a:solidFill>
                <a:srgbClr val="FF66FF"/>
              </a:solidFill>
              <a:prstDash val="solid"/>
            </a:ln>
          </c:spPr>
          <c:marker>
            <c:symbol val="none"/>
          </c:marker>
          <c:xVal>
            <c:numRef>
              <c:f>'Life expectancies'!$L$9:$L$25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'Life expectancies'!$M$9:$M$25</c:f>
              <c:numCache>
                <c:formatCode>0.0000_)</c:formatCode>
                <c:ptCount val="17"/>
                <c:pt idx="0">
                  <c:v>-1.6413361404431082</c:v>
                </c:pt>
                <c:pt idx="1">
                  <c:v>-1.4708000424419654</c:v>
                </c:pt>
                <c:pt idx="2">
                  <c:v>-1.2418568549082687</c:v>
                </c:pt>
                <c:pt idx="3">
                  <c:v>-0.95942372342790039</c:v>
                </c:pt>
                <c:pt idx="4">
                  <c:v>-0.66633024040942246</c:v>
                </c:pt>
                <c:pt idx="5">
                  <c:v>-0.44198111325802825</c:v>
                </c:pt>
                <c:pt idx="6">
                  <c:v>-0.29139890210946062</c:v>
                </c:pt>
                <c:pt idx="7">
                  <c:v>-0.19038810224579783</c:v>
                </c:pt>
                <c:pt idx="8">
                  <c:v>-0.11608266087166663</c:v>
                </c:pt>
                <c:pt idx="9">
                  <c:v>-4.3930811391103386E-2</c:v>
                </c:pt>
                <c:pt idx="10">
                  <c:v>3.7155811066819977E-2</c:v>
                </c:pt>
                <c:pt idx="11">
                  <c:v>0.1436651945268253</c:v>
                </c:pt>
                <c:pt idx="12">
                  <c:v>0.29107079850553313</c:v>
                </c:pt>
                <c:pt idx="13">
                  <c:v>0.47535837229874933</c:v>
                </c:pt>
                <c:pt idx="14">
                  <c:v>0.70579556167492974</c:v>
                </c:pt>
                <c:pt idx="15">
                  <c:v>1.0055123655866414</c:v>
                </c:pt>
                <c:pt idx="16">
                  <c:v>1.4065960649249267</c:v>
                </c:pt>
              </c:numCache>
            </c:numRef>
          </c:yVal>
          <c:smooth val="0"/>
          <c:extLst>
            <c:ext xmlns:c16="http://schemas.microsoft.com/office/drawing/2014/chart" uri="{C3380CC4-5D6E-409C-BE32-E72D297353CC}">
              <c16:uniqueId val="{00000001-6930-4BD7-8B32-DDE7B6CEC862}"/>
            </c:ext>
          </c:extLst>
        </c:ser>
        <c:dLbls>
          <c:showLegendKey val="0"/>
          <c:showVal val="0"/>
          <c:showCatName val="0"/>
          <c:showSerName val="0"/>
          <c:showPercent val="0"/>
          <c:showBubbleSize val="0"/>
        </c:dLbls>
        <c:axId val="92659712"/>
        <c:axId val="92661632"/>
      </c:scatterChart>
      <c:valAx>
        <c:axId val="92659712"/>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92661632"/>
        <c:crossesAt val="0"/>
        <c:crossBetween val="midCat"/>
      </c:valAx>
      <c:valAx>
        <c:axId val="92661632"/>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92659712"/>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调整值</c:v>
          </c:tx>
          <c:spPr>
            <a:ln>
              <a:noFill/>
            </a:ln>
          </c:spPr>
          <c:marker>
            <c:symbol val="square"/>
            <c:size val="5"/>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2.2289564187878415E-3</c:v>
                </c:pt>
                <c:pt idx="1">
                  <c:v>1.4548936603392285E-3</c:v>
                </c:pt>
                <c:pt idx="2">
                  <c:v>3.3981247025217905E-3</c:v>
                </c:pt>
                <c:pt idx="3">
                  <c:v>1.0039652286743847E-2</c:v>
                </c:pt>
                <c:pt idx="4">
                  <c:v>1.815794019424731E-2</c:v>
                </c:pt>
                <c:pt idx="5">
                  <c:v>2.2336492596005033E-2</c:v>
                </c:pt>
                <c:pt idx="6">
                  <c:v>2.0181823618727182E-2</c:v>
                </c:pt>
                <c:pt idx="7">
                  <c:v>1.8590557524899763E-2</c:v>
                </c:pt>
                <c:pt idx="8">
                  <c:v>1.7083613353959394E-2</c:v>
                </c:pt>
                <c:pt idx="9">
                  <c:v>1.9208069045380909E-2</c:v>
                </c:pt>
                <c:pt idx="10">
                  <c:v>1.8572308585866608E-2</c:v>
                </c:pt>
                <c:pt idx="11">
                  <c:v>2.6338161054597527E-2</c:v>
                </c:pt>
                <c:pt idx="12">
                  <c:v>3.3892994465698108E-2</c:v>
                </c:pt>
                <c:pt idx="13">
                  <c:v>4.5003978430521556E-2</c:v>
                </c:pt>
                <c:pt idx="14">
                  <c:v>5.667110627007229E-2</c:v>
                </c:pt>
                <c:pt idx="15">
                  <c:v>8.3757795901447621E-2</c:v>
                </c:pt>
                <c:pt idx="16">
                  <c:v>0.15901488777325157</c:v>
                </c:pt>
              </c:numCache>
            </c:numRef>
          </c:yVal>
          <c:smooth val="0"/>
          <c:extLst>
            <c:ext xmlns:c16="http://schemas.microsoft.com/office/drawing/2014/chart" uri="{C3380CC4-5D6E-409C-BE32-E72D297353CC}">
              <c16:uniqueId val="{00000000-97C6-4BD5-958E-8B771EC4D25D}"/>
            </c:ext>
          </c:extLst>
        </c:ser>
        <c:ser>
          <c:idx val="1"/>
          <c:order val="1"/>
          <c:tx>
            <c:v>平滑值</c:v>
          </c:tx>
          <c:spPr>
            <a:ln w="28575">
              <a:solidFill>
                <a:srgbClr val="FF00FF"/>
              </a:solidFill>
            </a:ln>
          </c:spPr>
          <c:marker>
            <c:symbol val="none"/>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7.3673276160993798E-3</c:v>
                </c:pt>
                <c:pt idx="1">
                  <c:v>2.9188734546035729E-3</c:v>
                </c:pt>
                <c:pt idx="2">
                  <c:v>5.7394245023584985E-3</c:v>
                </c:pt>
                <c:pt idx="3">
                  <c:v>1.136094997257376E-2</c:v>
                </c:pt>
                <c:pt idx="4">
                  <c:v>1.9414407371151337E-2</c:v>
                </c:pt>
                <c:pt idx="5">
                  <c:v>2.2319425692027595E-2</c:v>
                </c:pt>
                <c:pt idx="6">
                  <c:v>1.9544675152684092E-2</c:v>
                </c:pt>
                <c:pt idx="7">
                  <c:v>1.5423769459477337E-2</c:v>
                </c:pt>
                <c:pt idx="8">
                  <c:v>1.2598348748001302E-2</c:v>
                </c:pt>
                <c:pt idx="9">
                  <c:v>1.3273920794419086E-2</c:v>
                </c:pt>
                <c:pt idx="10">
                  <c:v>1.6153628483204664E-2</c:v>
                </c:pt>
                <c:pt idx="11">
                  <c:v>2.3194710996720637E-2</c:v>
                </c:pt>
                <c:pt idx="12">
                  <c:v>3.5684318341865189E-2</c:v>
                </c:pt>
                <c:pt idx="13">
                  <c:v>5.0032440831366175E-2</c:v>
                </c:pt>
                <c:pt idx="14">
                  <c:v>6.9731044020419033E-2</c:v>
                </c:pt>
                <c:pt idx="15">
                  <c:v>9.9267088700506989E-2</c:v>
                </c:pt>
                <c:pt idx="16">
                  <c:v>0.14069116417936858</c:v>
                </c:pt>
              </c:numCache>
            </c:numRef>
          </c:yVal>
          <c:smooth val="0"/>
          <c:extLst>
            <c:ext xmlns:c16="http://schemas.microsoft.com/office/drawing/2014/chart" uri="{C3380CC4-5D6E-409C-BE32-E72D297353CC}">
              <c16:uniqueId val="{00000001-97C6-4BD5-958E-8B771EC4D25D}"/>
            </c:ext>
          </c:extLst>
        </c:ser>
        <c:dLbls>
          <c:showLegendKey val="0"/>
          <c:showVal val="0"/>
          <c:showCatName val="0"/>
          <c:showSerName val="0"/>
          <c:showPercent val="0"/>
          <c:showBubbleSize val="0"/>
        </c:dLbls>
        <c:axId val="92379392"/>
        <c:axId val="92389376"/>
      </c:scatterChart>
      <c:valAx>
        <c:axId val="92379392"/>
        <c:scaling>
          <c:orientation val="minMax"/>
          <c:max val="85"/>
          <c:min val="0"/>
        </c:scaling>
        <c:delete val="0"/>
        <c:axPos val="b"/>
        <c:numFmt formatCode="0" sourceLinked="0"/>
        <c:majorTickMark val="out"/>
        <c:minorTickMark val="none"/>
        <c:tickLblPos val="nextTo"/>
        <c:crossAx val="92389376"/>
        <c:crosses val="autoZero"/>
        <c:crossBetween val="midCat"/>
      </c:valAx>
      <c:valAx>
        <c:axId val="92389376"/>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379392"/>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146050</xdr:colOff>
      <xdr:row>4</xdr:row>
      <xdr:rowOff>76200</xdr:rowOff>
    </xdr:from>
    <xdr:to>
      <xdr:col>21</xdr:col>
      <xdr:colOff>568324</xdr:colOff>
      <xdr:row>23</xdr:row>
      <xdr:rowOff>66675</xdr:rowOff>
    </xdr:to>
    <xdr:graphicFrame macro="">
      <xdr:nvGraphicFramePr>
        <xdr:cNvPr id="6" name="Chart 7">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206375</xdr:colOff>
      <xdr:row>0</xdr:row>
      <xdr:rowOff>1</xdr:rowOff>
    </xdr:from>
    <xdr:to>
      <xdr:col>26</xdr:col>
      <xdr:colOff>161925</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180975</xdr:colOff>
      <xdr:row>15</xdr:row>
      <xdr:rowOff>85725</xdr:rowOff>
    </xdr:from>
    <xdr:to>
      <xdr:col>26</xdr:col>
      <xdr:colOff>209550</xdr:colOff>
      <xdr:row>30</xdr:row>
      <xdr:rowOff>142875</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608400</xdr:colOff>
      <xdr:row>36</xdr:row>
      <xdr:rowOff>24300</xdr:rowOff>
    </xdr:to>
    <xdr:graphicFrame macro="">
      <xdr:nvGraphicFramePr>
        <xdr:cNvPr id="3" name="Chart 7">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15</xdr:col>
      <xdr:colOff>591179</xdr:colOff>
      <xdr:row>74</xdr:row>
      <xdr:rowOff>28836</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65333"/>
          <a:ext cx="9735179" cy="6294170"/>
          <a:chOff x="0" y="0"/>
          <a:chExt cx="9822869" cy="5739300"/>
        </a:xfrm>
      </xdr:grpSpPr>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ynthetic-extinct-generations-method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showGridLines="0" topLeftCell="A16" workbookViewId="0">
      <selection activeCell="B25" sqref="B25"/>
    </sheetView>
  </sheetViews>
  <sheetFormatPr defaultColWidth="9.109375" defaultRowHeight="18.75" customHeight="1"/>
  <cols>
    <col min="1" max="1" width="7.6640625" style="6" customWidth="1"/>
    <col min="2" max="2" width="97.6640625" style="6" customWidth="1"/>
    <col min="3" max="3" width="32.88671875" style="6" customWidth="1"/>
    <col min="4" max="4" width="17.109375" style="6" customWidth="1"/>
    <col min="5" max="16384" width="9.109375" style="6"/>
  </cols>
  <sheetData>
    <row r="1" spans="1:4" ht="18.75" customHeight="1">
      <c r="A1" s="130" t="s">
        <v>124</v>
      </c>
      <c r="B1" s="131"/>
    </row>
    <row r="2" spans="1:4" ht="18.75" customHeight="1">
      <c r="A2" s="43"/>
      <c r="B2" s="44"/>
    </row>
    <row r="3" spans="1:4" ht="18.75" customHeight="1">
      <c r="A3" s="132" t="s">
        <v>54</v>
      </c>
      <c r="B3" s="132"/>
    </row>
    <row r="4" spans="1:4" ht="18.75" customHeight="1">
      <c r="A4" s="133" t="s">
        <v>53</v>
      </c>
      <c r="B4" s="134"/>
    </row>
    <row r="6" spans="1:4" ht="55.5" customHeight="1">
      <c r="A6" s="135" t="s">
        <v>123</v>
      </c>
      <c r="B6" s="135"/>
    </row>
    <row r="7" spans="1:4" ht="18.75" customHeight="1" thickBot="1"/>
    <row r="8" spans="1:4" ht="18.75" customHeight="1" thickBot="1">
      <c r="A8" s="7" t="s">
        <v>55</v>
      </c>
      <c r="C8" s="136" t="s">
        <v>56</v>
      </c>
      <c r="D8" s="137"/>
    </row>
    <row r="9" spans="1:4" ht="18.75" customHeight="1">
      <c r="A9" s="8">
        <v>1</v>
      </c>
      <c r="B9" s="12" t="s">
        <v>113</v>
      </c>
      <c r="C9" s="39" t="s">
        <v>57</v>
      </c>
      <c r="D9" s="122" t="s">
        <v>58</v>
      </c>
    </row>
    <row r="10" spans="1:4" ht="18" customHeight="1">
      <c r="A10" s="10">
        <v>2</v>
      </c>
      <c r="B10" s="10" t="s">
        <v>114</v>
      </c>
      <c r="C10" s="40" t="s">
        <v>59</v>
      </c>
      <c r="D10" s="123" t="s">
        <v>80</v>
      </c>
    </row>
    <row r="11" spans="1:4" ht="18" customHeight="1">
      <c r="A11" s="9">
        <v>3</v>
      </c>
      <c r="B11" s="126" t="s">
        <v>125</v>
      </c>
      <c r="C11" s="40" t="s">
        <v>60</v>
      </c>
      <c r="D11" s="123" t="s">
        <v>74</v>
      </c>
    </row>
    <row r="12" spans="1:4" ht="18.75" customHeight="1">
      <c r="A12" s="9">
        <v>4</v>
      </c>
      <c r="B12" s="9" t="s">
        <v>61</v>
      </c>
      <c r="C12" s="41" t="s">
        <v>63</v>
      </c>
      <c r="D12" s="124">
        <v>37174</v>
      </c>
    </row>
    <row r="13" spans="1:4" ht="21" customHeight="1" thickBot="1">
      <c r="A13" s="9">
        <v>5</v>
      </c>
      <c r="B13" s="9" t="s">
        <v>62</v>
      </c>
      <c r="C13" s="42" t="s">
        <v>64</v>
      </c>
      <c r="D13" s="125">
        <v>39128</v>
      </c>
    </row>
    <row r="14" spans="1:4" ht="19.5" customHeight="1">
      <c r="A14" s="9">
        <v>6</v>
      </c>
      <c r="B14" s="9" t="s">
        <v>111</v>
      </c>
    </row>
    <row r="15" spans="1:4" ht="54" customHeight="1">
      <c r="A15" s="9">
        <v>7</v>
      </c>
      <c r="B15" s="11" t="s">
        <v>112</v>
      </c>
    </row>
    <row r="16" spans="1:4" ht="20.25" customHeight="1">
      <c r="A16" s="9">
        <v>8</v>
      </c>
      <c r="B16" s="11" t="s">
        <v>65</v>
      </c>
    </row>
    <row r="17" spans="1:2" ht="34.5" customHeight="1">
      <c r="A17" s="9">
        <v>9</v>
      </c>
      <c r="B17" s="12" t="s">
        <v>126</v>
      </c>
    </row>
    <row r="18" spans="1:2" ht="21.75" customHeight="1">
      <c r="A18" s="9"/>
      <c r="B18" s="11" t="s">
        <v>127</v>
      </c>
    </row>
    <row r="19" spans="1:2" ht="35.25" customHeight="1">
      <c r="A19" s="9"/>
      <c r="B19" s="11" t="s">
        <v>128</v>
      </c>
    </row>
    <row r="20" spans="1:2" ht="57" customHeight="1">
      <c r="A20" s="9"/>
      <c r="B20" s="11" t="s">
        <v>129</v>
      </c>
    </row>
    <row r="21" spans="1:2" ht="38.25" customHeight="1">
      <c r="A21" s="9">
        <v>10</v>
      </c>
      <c r="B21" s="11" t="s">
        <v>131</v>
      </c>
    </row>
    <row r="22" spans="1:2" ht="27" customHeight="1">
      <c r="A22" s="11">
        <v>11</v>
      </c>
      <c r="B22" s="11" t="s">
        <v>132</v>
      </c>
    </row>
    <row r="23" spans="1:2" ht="36.75" customHeight="1">
      <c r="A23" s="9">
        <v>12</v>
      </c>
      <c r="B23" s="11" t="s">
        <v>130</v>
      </c>
    </row>
    <row r="24" spans="1:2" ht="38.25" customHeight="1">
      <c r="A24" s="9">
        <v>13</v>
      </c>
      <c r="B24" s="11" t="s">
        <v>133</v>
      </c>
    </row>
    <row r="25" spans="1:2" ht="36" customHeight="1">
      <c r="A25" s="9">
        <v>14</v>
      </c>
      <c r="B25" s="11" t="s">
        <v>134</v>
      </c>
    </row>
    <row r="26" spans="1:2" ht="22.5" customHeight="1">
      <c r="A26" s="9">
        <v>15</v>
      </c>
      <c r="B26" s="9" t="s">
        <v>115</v>
      </c>
    </row>
    <row r="27" spans="1:2" ht="45" customHeight="1">
      <c r="A27" s="9"/>
      <c r="B27" s="11"/>
    </row>
    <row r="28" spans="1:2" ht="36" customHeight="1">
      <c r="A28" s="9"/>
      <c r="B28" s="11"/>
    </row>
    <row r="29" spans="1:2" ht="78" customHeight="1">
      <c r="A29" s="9"/>
      <c r="B29" s="11"/>
    </row>
    <row r="30" spans="1:2" ht="18.75" customHeight="1">
      <c r="A30" s="9"/>
      <c r="B30" s="11"/>
    </row>
    <row r="31" spans="1:2" ht="18.75" customHeight="1">
      <c r="A31" s="9"/>
      <c r="B31" s="11"/>
    </row>
    <row r="32" spans="1:2" ht="18.75" customHeight="1">
      <c r="A32" s="9"/>
      <c r="B32" s="11"/>
    </row>
    <row r="33" spans="1:2" ht="18.75" customHeight="1">
      <c r="A33" s="9"/>
      <c r="B33" s="11"/>
    </row>
    <row r="34" spans="1:2" ht="18.75" customHeight="1">
      <c r="A34" s="9"/>
      <c r="B34" s="11"/>
    </row>
    <row r="35" spans="1:2" ht="18.75" customHeight="1">
      <c r="A35" s="9"/>
      <c r="B35" s="11"/>
    </row>
    <row r="36" spans="1:2" ht="18.75" customHeight="1">
      <c r="A36" s="9"/>
      <c r="B36" s="11"/>
    </row>
    <row r="37" spans="1:2" ht="18.75" customHeight="1">
      <c r="A37" s="9"/>
      <c r="B37" s="11"/>
    </row>
    <row r="38" spans="1:2" ht="18.75" customHeight="1">
      <c r="A38" s="9"/>
      <c r="B38" s="11"/>
    </row>
    <row r="39" spans="1:2" ht="18.75" customHeight="1">
      <c r="A39" s="10"/>
      <c r="B39" s="13"/>
    </row>
    <row r="40" spans="1:2" ht="18.75" customHeight="1">
      <c r="A40" s="10"/>
      <c r="B40" s="13"/>
    </row>
    <row r="41" spans="1:2" ht="18.75" customHeight="1">
      <c r="A41" s="10"/>
      <c r="B41" s="13"/>
    </row>
    <row r="42" spans="1:2" ht="18.75" customHeight="1">
      <c r="A42" s="10"/>
      <c r="B42" s="13"/>
    </row>
    <row r="43" spans="1:2" ht="18.75" customHeight="1">
      <c r="A43" s="10"/>
      <c r="B43" s="13"/>
    </row>
    <row r="44" spans="1:2" ht="18.75" customHeight="1">
      <c r="A44" s="10"/>
      <c r="B44" s="13"/>
    </row>
    <row r="45" spans="1:2" ht="18.75" customHeight="1">
      <c r="A45" s="10"/>
      <c r="B45" s="10"/>
    </row>
    <row r="46" spans="1:2" ht="18.75" customHeight="1">
      <c r="A46" s="10"/>
      <c r="B46" s="10"/>
    </row>
    <row r="47" spans="1:2" ht="18.75" customHeight="1">
      <c r="A47" s="10"/>
      <c r="B47" s="10"/>
    </row>
    <row r="48" spans="1:2" ht="18.75" customHeight="1">
      <c r="A48" s="10"/>
      <c r="B48" s="10"/>
    </row>
    <row r="49" spans="1:2" ht="18.75" customHeight="1">
      <c r="A49" s="10"/>
      <c r="B49" s="10"/>
    </row>
    <row r="50" spans="1:2" ht="18.75" customHeight="1">
      <c r="A50" s="10"/>
      <c r="B50" s="10"/>
    </row>
    <row r="51" spans="1:2" ht="18.75" customHeight="1">
      <c r="A51" s="10"/>
      <c r="B51" s="10"/>
    </row>
    <row r="52" spans="1:2" ht="18.75" customHeight="1">
      <c r="A52" s="10"/>
      <c r="B52" s="10"/>
    </row>
    <row r="53" spans="1:2" ht="18.75" customHeight="1">
      <c r="A53" s="10"/>
      <c r="B53" s="10"/>
    </row>
    <row r="54" spans="1:2" ht="18.75" customHeight="1">
      <c r="A54" s="10"/>
      <c r="B54" s="10"/>
    </row>
    <row r="55" spans="1:2" ht="18.75" customHeight="1">
      <c r="A55" s="10"/>
      <c r="B55" s="10"/>
    </row>
    <row r="56" spans="1:2" ht="18.75" customHeight="1">
      <c r="A56" s="10"/>
      <c r="B56" s="10"/>
    </row>
    <row r="57" spans="1:2" ht="18.75" customHeight="1">
      <c r="A57" s="10"/>
      <c r="B57" s="10"/>
    </row>
    <row r="58" spans="1:2" ht="18.75" customHeight="1">
      <c r="A58" s="10"/>
      <c r="B58" s="10"/>
    </row>
    <row r="59" spans="1:2" ht="18.75" customHeight="1">
      <c r="A59" s="10"/>
      <c r="B59" s="10"/>
    </row>
    <row r="60" spans="1:2" ht="18.75" customHeight="1">
      <c r="A60" s="10"/>
      <c r="B60" s="10"/>
    </row>
    <row r="61" spans="1:2" ht="18.75" customHeight="1">
      <c r="A61" s="10"/>
      <c r="B61" s="10"/>
    </row>
    <row r="62" spans="1:2" ht="18.75" customHeight="1">
      <c r="A62" s="10"/>
      <c r="B62" s="10"/>
    </row>
    <row r="63" spans="1:2" ht="18.75" customHeight="1">
      <c r="A63" s="10"/>
      <c r="B63" s="10"/>
    </row>
    <row r="64" spans="1:2" ht="18.75" customHeight="1">
      <c r="A64" s="10"/>
      <c r="B64" s="10"/>
    </row>
    <row r="65" spans="1:2" ht="18.75" customHeight="1">
      <c r="A65" s="10"/>
      <c r="B65" s="10"/>
    </row>
    <row r="66" spans="1:2" ht="18.75" customHeight="1">
      <c r="A66" s="10"/>
      <c r="B66" s="10"/>
    </row>
    <row r="67" spans="1:2" ht="18.75" customHeight="1">
      <c r="A67" s="10"/>
      <c r="B67" s="10"/>
    </row>
    <row r="68" spans="1:2" ht="18.75" customHeight="1">
      <c r="A68" s="10"/>
      <c r="B68" s="10"/>
    </row>
    <row r="69" spans="1:2" ht="18.75" customHeight="1">
      <c r="A69" s="10"/>
      <c r="B69" s="10"/>
    </row>
  </sheetData>
  <sheetProtection selectLockedCells="1"/>
  <mergeCells count="5">
    <mergeCell ref="A1:B1"/>
    <mergeCell ref="A3:B3"/>
    <mergeCell ref="A4:B4"/>
    <mergeCell ref="A6:B6"/>
    <mergeCell ref="C8:D8"/>
  </mergeCells>
  <phoneticPr fontId="36" type="noConversion"/>
  <dataValidations count="3">
    <dataValidation type="list" showInputMessage="1" showErrorMessage="1" sqref="D11">
      <formula1>"联合国一般, 普林斯顿东部,普林斯顿北部,普林斯顿南部,普林斯顿西部, 艾滋病,其他"</formula1>
    </dataValidation>
    <dataValidation type="list" showInputMessage="1" showErrorMessage="1" sqref="D10">
      <formula1>"男性,女性"</formula1>
    </dataValidation>
    <dataValidation type="list" showDropDown="1" showInputMessage="1" showErrorMessage="1" sqref="A4:B4">
      <formula1>"http://demographicestimation.iussp.org/content/synthetic-extinct-generations-methods"</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B24" sqref="B24"/>
    </sheetView>
  </sheetViews>
  <sheetFormatPr defaultColWidth="9.109375" defaultRowHeight="15"/>
  <cols>
    <col min="1" max="1" width="7.6640625" style="15" customWidth="1"/>
    <col min="2" max="2" width="10" style="15" customWidth="1"/>
    <col min="3" max="3" width="10.88671875" style="15" customWidth="1"/>
    <col min="4" max="4" width="11.88671875" style="15" customWidth="1"/>
    <col min="5" max="5" width="12.109375" style="15" customWidth="1"/>
    <col min="6" max="6" width="11.6640625" style="15" customWidth="1"/>
    <col min="7" max="7" width="12.5546875" style="15" customWidth="1"/>
    <col min="8" max="8" width="12.109375" style="15" customWidth="1"/>
    <col min="9" max="9" width="4.5546875" style="15" customWidth="1"/>
    <col min="10" max="10" width="7.5546875" style="15" customWidth="1"/>
    <col min="11" max="15" width="12" style="15" customWidth="1"/>
    <col min="16" max="16" width="11.88671875" style="15" customWidth="1"/>
    <col min="17" max="17" width="10.88671875" style="15" customWidth="1"/>
    <col min="18" max="16384" width="9.109375" style="15"/>
  </cols>
  <sheetData>
    <row r="1" spans="1:17" ht="18">
      <c r="A1" s="14" t="s">
        <v>66</v>
      </c>
      <c r="G1" s="16" t="s">
        <v>67</v>
      </c>
      <c r="H1" s="17"/>
      <c r="J1" s="14" t="s">
        <v>76</v>
      </c>
      <c r="P1" s="16" t="s">
        <v>77</v>
      </c>
      <c r="Q1" s="17"/>
    </row>
    <row r="2" spans="1:17" ht="33" customHeight="1">
      <c r="A2" s="18" t="s">
        <v>68</v>
      </c>
      <c r="B2" s="19" t="s">
        <v>69</v>
      </c>
      <c r="C2" s="19" t="s">
        <v>70</v>
      </c>
      <c r="D2" s="19" t="s">
        <v>71</v>
      </c>
      <c r="E2" s="19" t="s">
        <v>72</v>
      </c>
      <c r="F2" s="19" t="s">
        <v>73</v>
      </c>
      <c r="G2" s="19" t="s">
        <v>74</v>
      </c>
      <c r="H2" s="19" t="s">
        <v>75</v>
      </c>
      <c r="J2" s="18" t="s">
        <v>68</v>
      </c>
      <c r="K2" s="19" t="s">
        <v>69</v>
      </c>
      <c r="L2" s="19" t="s">
        <v>70</v>
      </c>
      <c r="M2" s="19" t="s">
        <v>71</v>
      </c>
      <c r="N2" s="19" t="s">
        <v>72</v>
      </c>
      <c r="O2" s="19" t="s">
        <v>73</v>
      </c>
      <c r="P2" s="19" t="s">
        <v>74</v>
      </c>
      <c r="Q2" s="19" t="s">
        <v>75</v>
      </c>
    </row>
    <row r="3" spans="1:17">
      <c r="A3" s="20">
        <v>5</v>
      </c>
      <c r="B3" s="21">
        <v>-1.0557703137725243</v>
      </c>
      <c r="C3" s="21">
        <v>-1.0034528162299363</v>
      </c>
      <c r="D3" s="21">
        <v>-1.061325256602174</v>
      </c>
      <c r="E3" s="21">
        <v>-0.90879111177777439</v>
      </c>
      <c r="F3" s="21">
        <v>-1.0842444395521329</v>
      </c>
      <c r="G3" s="22">
        <v>-0.85180455224953355</v>
      </c>
      <c r="H3" s="23"/>
      <c r="J3" s="20">
        <v>5</v>
      </c>
      <c r="K3" s="21">
        <v>-1.1183426521790116</v>
      </c>
      <c r="L3" s="21">
        <v>-1.0839281949744348</v>
      </c>
      <c r="M3" s="21">
        <v>-1.1185632260148939</v>
      </c>
      <c r="N3" s="21">
        <v>-0.97803104804351482</v>
      </c>
      <c r="O3" s="21">
        <v>-1.1443836734991739</v>
      </c>
      <c r="P3" s="21">
        <v>-0.79829676250861992</v>
      </c>
      <c r="Q3" s="23"/>
    </row>
    <row r="4" spans="1:17">
      <c r="A4" s="20">
        <v>10</v>
      </c>
      <c r="B4" s="21">
        <v>-1.0059690881890577</v>
      </c>
      <c r="C4" s="21">
        <v>-0.96210277111891918</v>
      </c>
      <c r="D4" s="21">
        <v>-0.97867737240738273</v>
      </c>
      <c r="E4" s="21">
        <v>-0.87426674682746675</v>
      </c>
      <c r="F4" s="21">
        <v>-1.0329081865332934</v>
      </c>
      <c r="G4" s="21">
        <v>-0.799205207567936</v>
      </c>
      <c r="H4" s="23"/>
      <c r="J4" s="20">
        <v>10</v>
      </c>
      <c r="K4" s="21">
        <v>-1.0743948523980273</v>
      </c>
      <c r="L4" s="21">
        <v>-1.0472539080439389</v>
      </c>
      <c r="M4" s="21">
        <v>-1.0393562968308907</v>
      </c>
      <c r="N4" s="21">
        <v>-0.94784307566733739</v>
      </c>
      <c r="O4" s="21">
        <v>-1.0968312103313975</v>
      </c>
      <c r="P4" s="21">
        <v>-0.73689617552188336</v>
      </c>
      <c r="Q4" s="23"/>
    </row>
    <row r="5" spans="1:17">
      <c r="A5" s="20">
        <v>15</v>
      </c>
      <c r="B5" s="21">
        <v>-0.9778828398588445</v>
      </c>
      <c r="C5" s="21">
        <v>-0.93688771389348002</v>
      </c>
      <c r="D5" s="21">
        <v>-0.93456378789298888</v>
      </c>
      <c r="E5" s="21">
        <v>-0.85272014880258951</v>
      </c>
      <c r="F5" s="21">
        <v>-0.99562585121052949</v>
      </c>
      <c r="G5" s="21">
        <v>-0.77885315149743439</v>
      </c>
      <c r="H5" s="23"/>
      <c r="J5" s="20">
        <v>15</v>
      </c>
      <c r="K5" s="21">
        <v>-1.046640904616448</v>
      </c>
      <c r="L5" s="21">
        <v>-1.0232404683298353</v>
      </c>
      <c r="M5" s="21">
        <v>-0.99810318323243907</v>
      </c>
      <c r="N5" s="21">
        <v>-0.92724294571284704</v>
      </c>
      <c r="O5" s="21">
        <v>-1.0631132391187417</v>
      </c>
      <c r="P5" s="21">
        <v>-0.69613571586652812</v>
      </c>
      <c r="Q5" s="23"/>
    </row>
    <row r="6" spans="1:17">
      <c r="A6" s="20">
        <v>20</v>
      </c>
      <c r="B6" s="21">
        <v>-0.93810586936643969</v>
      </c>
      <c r="C6" s="21">
        <v>-0.90144694160929184</v>
      </c>
      <c r="D6" s="21">
        <v>-0.88577608039760869</v>
      </c>
      <c r="E6" s="21">
        <v>-0.82207221968309652</v>
      </c>
      <c r="F6" s="21">
        <v>-0.94491044364009291</v>
      </c>
      <c r="G6" s="21">
        <v>-0.73999984529103391</v>
      </c>
      <c r="H6" s="23"/>
      <c r="J6" s="20">
        <v>20</v>
      </c>
      <c r="K6" s="21">
        <v>-1.0066773582389617</v>
      </c>
      <c r="L6" s="21">
        <v>-0.98210627496614655</v>
      </c>
      <c r="M6" s="21">
        <v>-0.9416333856114224</v>
      </c>
      <c r="N6" s="21">
        <v>-0.89806980739238718</v>
      </c>
      <c r="O6" s="21">
        <v>-1.0130422551600544</v>
      </c>
      <c r="P6" s="21">
        <v>-0.66544049854843723</v>
      </c>
      <c r="Q6" s="23"/>
    </row>
    <row r="7" spans="1:17">
      <c r="A7" s="20">
        <v>25</v>
      </c>
      <c r="B7" s="21">
        <v>-0.88761866143951096</v>
      </c>
      <c r="C7" s="21">
        <v>-0.85645781794940679</v>
      </c>
      <c r="D7" s="21">
        <v>-0.83063229603261535</v>
      </c>
      <c r="E7" s="21">
        <v>-0.78407707634718316</v>
      </c>
      <c r="F7" s="21">
        <v>-0.88412226434856211</v>
      </c>
      <c r="G7" s="21">
        <v>-0.66746727013803897</v>
      </c>
      <c r="H7" s="23"/>
      <c r="J7" s="20">
        <v>25</v>
      </c>
      <c r="K7" s="21">
        <v>-0.95393531432576628</v>
      </c>
      <c r="L7" s="21">
        <v>-0.92677804853722057</v>
      </c>
      <c r="M7" s="21">
        <v>-0.86920613351053932</v>
      </c>
      <c r="N7" s="21">
        <v>-0.85624317643298331</v>
      </c>
      <c r="O7" s="21">
        <v>-0.94848666240099744</v>
      </c>
      <c r="P7" s="21">
        <v>-0.61930998136655224</v>
      </c>
      <c r="Q7" s="23"/>
    </row>
    <row r="8" spans="1:17">
      <c r="A8" s="20">
        <v>30</v>
      </c>
      <c r="B8" s="21">
        <v>-0.83222308793731981</v>
      </c>
      <c r="C8" s="21">
        <v>-0.80848565605858569</v>
      </c>
      <c r="D8" s="21">
        <v>-0.77200338720246053</v>
      </c>
      <c r="E8" s="21">
        <v>-0.74309524259921955</v>
      </c>
      <c r="F8" s="21">
        <v>-0.82136257147134217</v>
      </c>
      <c r="G8" s="21">
        <v>-0.55497544474088145</v>
      </c>
      <c r="H8" s="23"/>
      <c r="J8" s="20">
        <v>30</v>
      </c>
      <c r="K8" s="21">
        <v>-0.89866730377103976</v>
      </c>
      <c r="L8" s="21">
        <v>-0.87581973706212179</v>
      </c>
      <c r="M8" s="21">
        <v>-0.80208481424719991</v>
      </c>
      <c r="N8" s="21">
        <v>-0.81703262635799434</v>
      </c>
      <c r="O8" s="21">
        <v>-0.88773038554625583</v>
      </c>
      <c r="P8" s="21">
        <v>-0.53826653643964251</v>
      </c>
      <c r="Q8" s="23"/>
    </row>
    <row r="9" spans="1:17">
      <c r="A9" s="20">
        <v>35</v>
      </c>
      <c r="B9" s="21">
        <v>-0.77161320305701064</v>
      </c>
      <c r="C9" s="21">
        <v>-0.75720799673579831</v>
      </c>
      <c r="D9" s="21">
        <v>-0.71174620737879146</v>
      </c>
      <c r="E9" s="21">
        <v>-0.70212800843649648</v>
      </c>
      <c r="F9" s="21">
        <v>-0.75642199010305966</v>
      </c>
      <c r="G9" s="21">
        <v>-0.43949301509733479</v>
      </c>
      <c r="H9" s="23"/>
      <c r="J9" s="20">
        <v>35</v>
      </c>
      <c r="K9" s="21">
        <v>-0.83892900424050876</v>
      </c>
      <c r="L9" s="21">
        <v>-0.82474303239272606</v>
      </c>
      <c r="M9" s="21">
        <v>-0.73732351213430469</v>
      </c>
      <c r="N9" s="21">
        <v>-0.77189439731086973</v>
      </c>
      <c r="O9" s="21">
        <v>-0.8259381775987652</v>
      </c>
      <c r="P9" s="21">
        <v>-0.42396950774757225</v>
      </c>
      <c r="Q9" s="23"/>
    </row>
    <row r="10" spans="1:17">
      <c r="A10" s="20">
        <v>40</v>
      </c>
      <c r="B10" s="21">
        <v>-0.70536613769800149</v>
      </c>
      <c r="C10" s="21">
        <v>-0.70143650532592283</v>
      </c>
      <c r="D10" s="21">
        <v>-0.6489531581506035</v>
      </c>
      <c r="E10" s="21">
        <v>-0.65777314927556685</v>
      </c>
      <c r="F10" s="21">
        <v>-0.68862800696556059</v>
      </c>
      <c r="G10" s="21">
        <v>-0.34752805546091936</v>
      </c>
      <c r="H10" s="23"/>
      <c r="J10" s="20">
        <v>40</v>
      </c>
      <c r="K10" s="21">
        <v>-0.76900214861344063</v>
      </c>
      <c r="L10" s="21">
        <v>-0.76681316903129526</v>
      </c>
      <c r="M10" s="21">
        <v>-0.67218441284437103</v>
      </c>
      <c r="N10" s="21">
        <v>-0.72231250461550289</v>
      </c>
      <c r="O10" s="21">
        <v>-0.75696780176204026</v>
      </c>
      <c r="P10" s="21">
        <v>-0.30537040538400972</v>
      </c>
      <c r="Q10" s="23"/>
    </row>
    <row r="11" spans="1:17">
      <c r="A11" s="20">
        <v>45</v>
      </c>
      <c r="B11" s="21">
        <v>-0.63225842771700302</v>
      </c>
      <c r="C11" s="21">
        <v>-0.64063233149904941</v>
      </c>
      <c r="D11" s="21">
        <v>-0.58010435644994485</v>
      </c>
      <c r="E11" s="21">
        <v>-0.60809129187599065</v>
      </c>
      <c r="F11" s="21">
        <v>-0.61631192568392912</v>
      </c>
      <c r="G11" s="21">
        <v>-0.2796717464607949</v>
      </c>
      <c r="H11" s="23"/>
      <c r="J11" s="20">
        <v>45</v>
      </c>
      <c r="K11" s="21">
        <v>-0.68452755415039701</v>
      </c>
      <c r="L11" s="21">
        <v>-0.69542221623109723</v>
      </c>
      <c r="M11" s="21">
        <v>-0.6004320886314537</v>
      </c>
      <c r="N11" s="21">
        <v>-0.66038885146608195</v>
      </c>
      <c r="O11" s="21">
        <v>-0.67555110779524841</v>
      </c>
      <c r="P11" s="21">
        <v>-0.19102306031916078</v>
      </c>
      <c r="Q11" s="23"/>
    </row>
    <row r="12" spans="1:17">
      <c r="A12" s="20">
        <v>50</v>
      </c>
      <c r="B12" s="21">
        <v>-0.54716064042354773</v>
      </c>
      <c r="C12" s="21">
        <v>-0.56974874560225386</v>
      </c>
      <c r="D12" s="21">
        <v>-0.50864167857923615</v>
      </c>
      <c r="E12" s="21">
        <v>-0.55207839286799509</v>
      </c>
      <c r="F12" s="21">
        <v>-0.53540369879947558</v>
      </c>
      <c r="G12" s="21">
        <v>-0.22679742576773457</v>
      </c>
      <c r="H12" s="23"/>
      <c r="J12" s="20">
        <v>50</v>
      </c>
      <c r="K12" s="21">
        <v>-0.58094867734309374</v>
      </c>
      <c r="L12" s="21">
        <v>-0.60294976503765141</v>
      </c>
      <c r="M12" s="21">
        <v>-0.52059834010621253</v>
      </c>
      <c r="N12" s="21">
        <v>-0.58383201720449152</v>
      </c>
      <c r="O12" s="21">
        <v>-0.57720150892943201</v>
      </c>
      <c r="P12" s="21">
        <v>-9.1258238415243206E-2</v>
      </c>
      <c r="Q12" s="23"/>
    </row>
    <row r="13" spans="1:17">
      <c r="A13" s="20">
        <v>55</v>
      </c>
      <c r="B13" s="21">
        <v>-0.44323137082095437</v>
      </c>
      <c r="C13" s="21">
        <v>-0.48057184541702924</v>
      </c>
      <c r="D13" s="21">
        <v>-0.42279162488953242</v>
      </c>
      <c r="E13" s="21">
        <v>-0.48008226256731529</v>
      </c>
      <c r="F13" s="21">
        <v>-0.43713086722588262</v>
      </c>
      <c r="G13" s="21">
        <v>-0.17320805457698965</v>
      </c>
      <c r="H13" s="23"/>
      <c r="J13" s="20">
        <v>55</v>
      </c>
      <c r="K13" s="21">
        <v>-0.45326106749569572</v>
      </c>
      <c r="L13" s="21">
        <v>-0.48163530200651361</v>
      </c>
      <c r="M13" s="21">
        <v>-0.4210143479136163</v>
      </c>
      <c r="N13" s="21">
        <v>-0.48460666195853785</v>
      </c>
      <c r="O13" s="21">
        <v>-0.45582055810755873</v>
      </c>
      <c r="P13" s="21">
        <v>-5.7787208801094525E-3</v>
      </c>
      <c r="Q13" s="23"/>
    </row>
    <row r="14" spans="1:17">
      <c r="A14" s="20">
        <v>60</v>
      </c>
      <c r="B14" s="21">
        <v>-0.31406112015068494</v>
      </c>
      <c r="C14" s="21">
        <v>-0.36529580454443744</v>
      </c>
      <c r="D14" s="21">
        <v>-0.32102416945414897</v>
      </c>
      <c r="E14" s="21">
        <v>-0.38856998615937</v>
      </c>
      <c r="F14" s="21">
        <v>-0.3186589915311997</v>
      </c>
      <c r="G14" s="21">
        <v>-0.11051999808174573</v>
      </c>
      <c r="H14" s="23"/>
      <c r="J14" s="20">
        <v>60</v>
      </c>
      <c r="K14" s="21">
        <v>-0.29911364237741156</v>
      </c>
      <c r="L14" s="21">
        <v>-0.33065389097350745</v>
      </c>
      <c r="M14" s="21">
        <v>-0.30682105927662073</v>
      </c>
      <c r="N14" s="21">
        <v>-0.35965748316759905</v>
      </c>
      <c r="O14" s="21">
        <v>-0.30741359919534794</v>
      </c>
      <c r="P14" s="21">
        <v>8.0454876803862097E-2</v>
      </c>
      <c r="Q14" s="23"/>
    </row>
    <row r="15" spans="1:17">
      <c r="A15" s="20">
        <v>65</v>
      </c>
      <c r="B15" s="21">
        <v>-0.15350037229977559</v>
      </c>
      <c r="C15" s="21">
        <v>-0.21177193364854202</v>
      </c>
      <c r="D15" s="21">
        <v>-0.18761837894537206</v>
      </c>
      <c r="E15" s="21">
        <v>-0.25906906882787523</v>
      </c>
      <c r="F15" s="21">
        <v>-0.16637525937102554</v>
      </c>
      <c r="G15" s="21">
        <v>-2.4564773576284834E-2</v>
      </c>
      <c r="H15" s="23"/>
      <c r="J15" s="20">
        <v>65</v>
      </c>
      <c r="K15" s="21">
        <v>-0.11199770547699364</v>
      </c>
      <c r="L15" s="21">
        <v>-0.14845486484458761</v>
      </c>
      <c r="M15" s="21">
        <v>-0.16058401337471645</v>
      </c>
      <c r="N15" s="21">
        <v>-0.20182323747925654</v>
      </c>
      <c r="O15" s="21">
        <v>-0.1262176157653675</v>
      </c>
      <c r="P15" s="21">
        <v>0.18406648298591774</v>
      </c>
      <c r="Q15" s="23"/>
    </row>
    <row r="16" spans="1:17">
      <c r="A16" s="20">
        <v>70</v>
      </c>
      <c r="B16" s="21">
        <v>4.7202694544060057E-2</v>
      </c>
      <c r="C16" s="21">
        <v>-6.4627267002444113E-3</v>
      </c>
      <c r="D16" s="21">
        <v>-1.046876480077538E-2</v>
      </c>
      <c r="E16" s="21">
        <v>-7.9751647450351681E-2</v>
      </c>
      <c r="F16" s="21">
        <v>2.5988333390229997E-2</v>
      </c>
      <c r="G16" s="21">
        <v>0.1003150483892048</v>
      </c>
      <c r="H16" s="23"/>
      <c r="J16" s="20">
        <v>70</v>
      </c>
      <c r="K16" s="21">
        <v>0.11350757351291885</v>
      </c>
      <c r="L16" s="21">
        <v>7.4350889929898981E-2</v>
      </c>
      <c r="M16" s="21">
        <v>2.5027307118656625E-2</v>
      </c>
      <c r="N16" s="21">
        <v>-3.6304814007426826E-3</v>
      </c>
      <c r="O16" s="21">
        <v>9.2839228680570429E-2</v>
      </c>
      <c r="P16" s="21">
        <v>0.32605808533447933</v>
      </c>
      <c r="Q16" s="23"/>
    </row>
    <row r="17" spans="1:17">
      <c r="A17" s="20">
        <v>75</v>
      </c>
      <c r="B17" s="21">
        <v>0.29831344083201977</v>
      </c>
      <c r="C17" s="21">
        <v>0.26683377074043363</v>
      </c>
      <c r="D17" s="21">
        <v>0.22405908607537503</v>
      </c>
      <c r="E17" s="21">
        <v>0.17544223413848195</v>
      </c>
      <c r="F17" s="21">
        <v>0.27789225951999852</v>
      </c>
      <c r="G17" s="21">
        <v>0.26437837247892709</v>
      </c>
      <c r="H17" s="23"/>
      <c r="J17" s="20">
        <v>75</v>
      </c>
      <c r="K17" s="21">
        <v>0.38394770191107502</v>
      </c>
      <c r="L17" s="21">
        <v>0.35688919667802921</v>
      </c>
      <c r="M17" s="21">
        <v>0.26393791547571011</v>
      </c>
      <c r="N17" s="21">
        <v>0.26264157768898094</v>
      </c>
      <c r="O17" s="21">
        <v>0.36516868997048274</v>
      </c>
      <c r="P17" s="21">
        <v>0.5118891879176225</v>
      </c>
      <c r="Q17" s="23"/>
    </row>
    <row r="18" spans="1:17">
      <c r="A18" s="20">
        <v>80</v>
      </c>
      <c r="B18" s="21">
        <v>0.61317544977380356</v>
      </c>
      <c r="C18" s="21">
        <v>0.63032567098022951</v>
      </c>
      <c r="D18" s="21">
        <v>0.53050000260347951</v>
      </c>
      <c r="E18" s="21">
        <v>0.52941084062316079</v>
      </c>
      <c r="F18" s="21">
        <v>0.60865330973735543</v>
      </c>
      <c r="G18" s="21">
        <v>0.47887517915207028</v>
      </c>
      <c r="H18" s="23"/>
      <c r="J18" s="20">
        <v>80</v>
      </c>
      <c r="K18" s="21">
        <v>0.71024327752276806</v>
      </c>
      <c r="L18" s="21">
        <v>0.72453107950166995</v>
      </c>
      <c r="M18" s="21">
        <v>0.57732480411031639</v>
      </c>
      <c r="N18" s="21">
        <v>0.63094192216713241</v>
      </c>
      <c r="O18" s="21">
        <v>0.71611699723844735</v>
      </c>
      <c r="P18" s="21">
        <v>0.75588193380852187</v>
      </c>
      <c r="Q18" s="23"/>
    </row>
    <row r="19" spans="1:17">
      <c r="A19" s="24">
        <v>85</v>
      </c>
      <c r="B19" s="25">
        <v>1.0181822931175846</v>
      </c>
      <c r="C19" s="25">
        <v>1.1331829930730626</v>
      </c>
      <c r="D19" s="25">
        <v>0.94458953171090765</v>
      </c>
      <c r="E19" s="25">
        <v>1.0331091244568076</v>
      </c>
      <c r="F19" s="25">
        <v>1.0566921142266263</v>
      </c>
      <c r="G19" s="25">
        <v>0.76832737327098732</v>
      </c>
      <c r="H19" s="26"/>
      <c r="J19" s="24">
        <v>85</v>
      </c>
      <c r="K19" s="25">
        <v>1.1175905321542541</v>
      </c>
      <c r="L19" s="25">
        <v>1.2272198084146826</v>
      </c>
      <c r="M19" s="25">
        <v>1.0013626443891026</v>
      </c>
      <c r="N19" s="25">
        <v>1.1510053247399854</v>
      </c>
      <c r="O19" s="25">
        <v>1.1877303063916866</v>
      </c>
      <c r="P19" s="25">
        <v>1.0995381024185025</v>
      </c>
      <c r="Q19" s="26"/>
    </row>
    <row r="21" spans="1:17" ht="15.6">
      <c r="A21" s="27" t="s">
        <v>78</v>
      </c>
      <c r="G21" s="28"/>
      <c r="H21" s="28"/>
    </row>
    <row r="22" spans="1:17">
      <c r="A22" s="29"/>
      <c r="B22" s="29"/>
    </row>
    <row r="23" spans="1:17">
      <c r="A23" s="30"/>
      <c r="B23" s="31" t="str">
        <f>Introduction!D11</f>
        <v>艾滋病</v>
      </c>
      <c r="C23" s="31"/>
      <c r="D23" s="31" t="s">
        <v>79</v>
      </c>
    </row>
    <row r="24" spans="1:17" ht="16.2">
      <c r="A24" s="32" t="s">
        <v>68</v>
      </c>
      <c r="B24" s="33" t="s">
        <v>26</v>
      </c>
      <c r="C24" s="33"/>
      <c r="D24" s="33" t="s">
        <v>78</v>
      </c>
    </row>
    <row r="25" spans="1:17" ht="16.2">
      <c r="A25" s="34"/>
      <c r="B25" s="35" t="s">
        <v>27</v>
      </c>
      <c r="C25" s="35"/>
      <c r="D25" s="35" t="s">
        <v>28</v>
      </c>
    </row>
    <row r="26" spans="1:17">
      <c r="A26" s="20">
        <v>5</v>
      </c>
      <c r="B26" s="36">
        <f>IF(Introduction!$D$10="女性",HLOOKUP(Introduction!D$11,$B$2:$H$19,ROW()-ROW(B$26)+2,FALSE),HLOOKUP(Introduction!D$11,$K$2:$Q$19,ROW()-ROW(B$26)+2,FALSE))</f>
        <v>-0.85180455224953355</v>
      </c>
      <c r="C26" s="36">
        <f>1/(1+EXP(2*B26))</f>
        <v>0.8460055170956382</v>
      </c>
      <c r="D26" s="36">
        <f>C26/C$26</f>
        <v>1</v>
      </c>
    </row>
    <row r="27" spans="1:17">
      <c r="A27" s="20">
        <v>10</v>
      </c>
      <c r="B27" s="37">
        <f>IF(Introduction!$D$10="女性",HLOOKUP(Introduction!D$11,$B$2:$H$19,ROW()-ROW(B$26)+2,FALSE),HLOOKUP(Introduction!D$11,$K$2:$Q$19,ROW()-ROW(B$26)+2,FALSE))</f>
        <v>-0.799205207567936</v>
      </c>
      <c r="C27" s="37">
        <f>1/(1+EXP(2*B27))</f>
        <v>0.83179610145755278</v>
      </c>
      <c r="D27" s="37">
        <f>C27/C$26</f>
        <v>0.98320410996033836</v>
      </c>
    </row>
    <row r="28" spans="1:17">
      <c r="A28" s="20">
        <v>15</v>
      </c>
      <c r="B28" s="37">
        <f>IF(Introduction!$D$10="女性",HLOOKUP(Introduction!D$11,$B$2:$H$19,ROW()-ROW(B$26)+2,FALSE),HLOOKUP(Introduction!D$11,$K$2:$Q$19,ROW()-ROW(B$26)+2,FALSE))</f>
        <v>-0.77885315149743439</v>
      </c>
      <c r="C28" s="37">
        <f t="shared" ref="C28:C41" si="0">1/(1+EXP(2*B28))</f>
        <v>0.82602397598239741</v>
      </c>
      <c r="D28" s="37">
        <f t="shared" ref="D28:D41" si="1">C28/C$26</f>
        <v>0.97638131110322068</v>
      </c>
    </row>
    <row r="29" spans="1:17">
      <c r="A29" s="20">
        <v>20</v>
      </c>
      <c r="B29" s="37">
        <f>IF(Introduction!$D$10="女性",HLOOKUP(Introduction!D$11,$B$2:$H$19,ROW()-ROW(B$26)+2,FALSE),HLOOKUP(Introduction!D$11,$K$2:$Q$19,ROW()-ROW(B$26)+2,FALSE))</f>
        <v>-0.73999984529103391</v>
      </c>
      <c r="C29" s="37">
        <f t="shared" si="0"/>
        <v>0.81457253397126284</v>
      </c>
      <c r="D29" s="37">
        <f t="shared" si="1"/>
        <v>0.9628454159113693</v>
      </c>
    </row>
    <row r="30" spans="1:17">
      <c r="A30" s="20">
        <v>25</v>
      </c>
      <c r="B30" s="37">
        <f>IF(Introduction!$D$10="女性",HLOOKUP(Introduction!D$11,$B$2:$H$19,ROW()-ROW(B$26)+2,FALSE),HLOOKUP(Introduction!D$11,$K$2:$Q$19,ROW()-ROW(B$26)+2,FALSE))</f>
        <v>-0.66746727013803897</v>
      </c>
      <c r="C30" s="37">
        <f t="shared" si="0"/>
        <v>0.79165569420837567</v>
      </c>
      <c r="D30" s="37">
        <f t="shared" si="1"/>
        <v>0.9357571294879411</v>
      </c>
    </row>
    <row r="31" spans="1:17">
      <c r="A31" s="20">
        <v>30</v>
      </c>
      <c r="B31" s="37">
        <f>IF(Introduction!$D$10="女性",HLOOKUP(Introduction!D$11,$B$2:$H$19,ROW()-ROW(B$26)+2,FALSE),HLOOKUP(Introduction!D$11,$K$2:$Q$19,ROW()-ROW(B$26)+2,FALSE))</f>
        <v>-0.55497544474088145</v>
      </c>
      <c r="C31" s="37">
        <f t="shared" si="0"/>
        <v>0.75211995560753997</v>
      </c>
      <c r="D31" s="37">
        <f t="shared" si="1"/>
        <v>0.88902488270950042</v>
      </c>
    </row>
    <row r="32" spans="1:17">
      <c r="A32" s="20">
        <v>35</v>
      </c>
      <c r="B32" s="37">
        <f>IF(Introduction!$D$10="女性",HLOOKUP(Introduction!D$11,$B$2:$H$19,ROW()-ROW(B$26)+2,FALSE),HLOOKUP(Introduction!D$11,$K$2:$Q$19,ROW()-ROW(B$26)+2,FALSE))</f>
        <v>-0.43949301509733479</v>
      </c>
      <c r="C32" s="37">
        <f t="shared" si="0"/>
        <v>0.70661205758212275</v>
      </c>
      <c r="D32" s="37">
        <f t="shared" si="1"/>
        <v>0.83523339186716261</v>
      </c>
    </row>
    <row r="33" spans="1:4">
      <c r="A33" s="20">
        <v>40</v>
      </c>
      <c r="B33" s="37">
        <f>IF(Introduction!$D$10="女性",HLOOKUP(Introduction!D$11,$B$2:$H$19,ROW()-ROW(B$26)+2,FALSE),HLOOKUP(Introduction!D$11,$K$2:$Q$19,ROW()-ROW(B$26)+2,FALSE))</f>
        <v>-0.34752805546091936</v>
      </c>
      <c r="C33" s="37">
        <f t="shared" si="0"/>
        <v>0.66709073836442057</v>
      </c>
      <c r="D33" s="37">
        <f t="shared" si="1"/>
        <v>0.78851818916567196</v>
      </c>
    </row>
    <row r="34" spans="1:4">
      <c r="A34" s="20">
        <v>45</v>
      </c>
      <c r="B34" s="37">
        <f>IF(Introduction!$D$10="女性",HLOOKUP(Introduction!D$11,$B$2:$H$19,ROW()-ROW(B$26)+2,FALSE),HLOOKUP(Introduction!D$11,$K$2:$Q$19,ROW()-ROW(B$26)+2,FALSE))</f>
        <v>-0.2796717464607949</v>
      </c>
      <c r="C34" s="37">
        <f t="shared" si="0"/>
        <v>0.63630062360786621</v>
      </c>
      <c r="D34" s="37">
        <f t="shared" si="1"/>
        <v>0.75212349180925553</v>
      </c>
    </row>
    <row r="35" spans="1:4">
      <c r="A35" s="20">
        <v>50</v>
      </c>
      <c r="B35" s="37">
        <f>IF(Introduction!$D$10="女性",HLOOKUP(Introduction!D$11,$B$2:$H$19,ROW()-ROW(B$26)+2,FALSE),HLOOKUP(Introduction!D$11,$K$2:$Q$19,ROW()-ROW(B$26)+2,FALSE))</f>
        <v>-0.22679742576773457</v>
      </c>
      <c r="C35" s="37">
        <f t="shared" si="0"/>
        <v>0.61149360138230746</v>
      </c>
      <c r="D35" s="37">
        <f t="shared" si="1"/>
        <v>0.72280096172609243</v>
      </c>
    </row>
    <row r="36" spans="1:4">
      <c r="A36" s="20">
        <v>55</v>
      </c>
      <c r="B36" s="37">
        <f>IF(Introduction!$D$10="女性",HLOOKUP(Introduction!D$11,$B$2:$H$19,ROW()-ROW(B$26)+2,FALSE),HLOOKUP(Introduction!D$11,$K$2:$Q$19,ROW()-ROW(B$26)+2,FALSE))</f>
        <v>-0.17320805457698965</v>
      </c>
      <c r="C36" s="37">
        <f t="shared" si="0"/>
        <v>0.58574822578213226</v>
      </c>
      <c r="D36" s="37">
        <f t="shared" si="1"/>
        <v>0.69236927413076821</v>
      </c>
    </row>
    <row r="37" spans="1:4">
      <c r="A37" s="20">
        <v>60</v>
      </c>
      <c r="B37" s="37">
        <f>IF(Introduction!$D$10="女性",HLOOKUP(Introduction!D$11,$B$2:$H$19,ROW()-ROW(B$26)+2,FALSE),HLOOKUP(Introduction!D$11,$K$2:$Q$19,ROW()-ROW(B$26)+2,FALSE))</f>
        <v>-0.11051999808174573</v>
      </c>
      <c r="C37" s="37">
        <f t="shared" si="0"/>
        <v>0.55503609870769621</v>
      </c>
      <c r="D37" s="37">
        <f t="shared" si="1"/>
        <v>0.65606676019460419</v>
      </c>
    </row>
    <row r="38" spans="1:4">
      <c r="A38" s="20">
        <v>65</v>
      </c>
      <c r="B38" s="37">
        <f>IF(Introduction!$D$10="女性",HLOOKUP(Introduction!D$11,$B$2:$H$19,ROW()-ROW(B$26)+2,FALSE),HLOOKUP(Introduction!D$11,$K$2:$Q$19,ROW()-ROW(B$26)+2,FALSE))</f>
        <v>-2.4564773576284834E-2</v>
      </c>
      <c r="C38" s="37">
        <f t="shared" si="0"/>
        <v>0.51227991687186292</v>
      </c>
      <c r="D38" s="37">
        <f t="shared" si="1"/>
        <v>0.60552786775024225</v>
      </c>
    </row>
    <row r="39" spans="1:4">
      <c r="A39" s="20">
        <v>70</v>
      </c>
      <c r="B39" s="37">
        <f>IF(Introduction!$D$10="女性",HLOOKUP(Introduction!D$11,$B$2:$H$19,ROW()-ROW(B$26)+2,FALSE),HLOOKUP(Introduction!D$11,$K$2:$Q$19,ROW()-ROW(B$26)+2,FALSE))</f>
        <v>0.1003150483892048</v>
      </c>
      <c r="C39" s="37">
        <f t="shared" si="0"/>
        <v>0.45001004819462181</v>
      </c>
      <c r="D39" s="37">
        <f t="shared" si="1"/>
        <v>0.53192330203651572</v>
      </c>
    </row>
    <row r="40" spans="1:4">
      <c r="A40" s="20">
        <v>75</v>
      </c>
      <c r="B40" s="37">
        <f>IF(Introduction!$D$10="女性",HLOOKUP(Introduction!D$11,$B$2:$H$19,ROW()-ROW(B$26)+2,FALSE),HLOOKUP(Introduction!D$11,$K$2:$Q$19,ROW()-ROW(B$26)+2,FALSE))</f>
        <v>0.26437837247892709</v>
      </c>
      <c r="C40" s="37">
        <f t="shared" si="0"/>
        <v>0.37080690418251255</v>
      </c>
      <c r="D40" s="37">
        <f t="shared" si="1"/>
        <v>0.43830317496687676</v>
      </c>
    </row>
    <row r="41" spans="1:4">
      <c r="A41" s="20">
        <v>80</v>
      </c>
      <c r="B41" s="37">
        <f>IF(Introduction!$D$10="女性",HLOOKUP(Introduction!D$11,$B$2:$H$19,ROW()-ROW(B$26)+2,FALSE),HLOOKUP(Introduction!D$11,$K$2:$Q$19,ROW()-ROW(B$26)+2,FALSE))</f>
        <v>0.47887517915207028</v>
      </c>
      <c r="C41" s="37">
        <f t="shared" si="0"/>
        <v>0.27732883662925017</v>
      </c>
      <c r="D41" s="37">
        <f t="shared" si="1"/>
        <v>0.32780972585300416</v>
      </c>
    </row>
    <row r="42" spans="1:4">
      <c r="A42" s="24">
        <v>85</v>
      </c>
      <c r="B42" s="38">
        <f>IF(Introduction!$D$10="女性",HLOOKUP(Introduction!D$11,$B$2:$H$19,ROW()-ROW(B$26)+2,FALSE),HLOOKUP(Introduction!D$11,$K$2:$Q$19,ROW()-ROW(B$26)+2,FALSE))</f>
        <v>0.76832737327098732</v>
      </c>
      <c r="C42" s="38">
        <f>1/(1+EXP(2*B42))</f>
        <v>0.17702210251466602</v>
      </c>
      <c r="D42" s="38">
        <f>C42/C$26</f>
        <v>0.20924461949419443</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opLeftCell="A8" zoomScaleNormal="100" workbookViewId="0">
      <selection activeCell="K30" sqref="K30"/>
    </sheetView>
  </sheetViews>
  <sheetFormatPr defaultColWidth="9.109375" defaultRowHeight="13.2"/>
  <cols>
    <col min="1" max="2" width="9.33203125" style="2" bestFit="1" customWidth="1"/>
    <col min="3" max="3" width="10.44140625" style="2" customWidth="1"/>
    <col min="4" max="4" width="11" style="2" customWidth="1"/>
    <col min="5" max="5" width="12" style="2" customWidth="1"/>
    <col min="6" max="6" width="9.44140625" style="2" bestFit="1" customWidth="1"/>
    <col min="7" max="7" width="13.109375" style="2" bestFit="1" customWidth="1"/>
    <col min="8" max="8" width="13.33203125" style="2" bestFit="1" customWidth="1"/>
    <col min="9" max="9" width="12.33203125" style="2" customWidth="1"/>
    <col min="10" max="10" width="13.5546875" style="2" customWidth="1"/>
    <col min="11" max="11" width="10.33203125" style="2" customWidth="1"/>
    <col min="12" max="12" width="10.44140625" style="2" customWidth="1"/>
    <col min="13" max="13" width="10.5546875" style="2" bestFit="1" customWidth="1"/>
    <col min="14" max="14" width="5.109375" style="2" customWidth="1"/>
    <col min="15" max="15" width="9.109375" style="2"/>
    <col min="16" max="16" width="12.5546875" style="2" customWidth="1"/>
    <col min="17" max="17" width="11.5546875" style="2" customWidth="1"/>
    <col min="18" max="16384" width="9.109375" style="2"/>
  </cols>
  <sheetData>
    <row r="1" spans="1:13">
      <c r="A1" s="2" t="s">
        <v>82</v>
      </c>
      <c r="C1" s="107" t="str">
        <f>Introduction!D9</f>
        <v>南非</v>
      </c>
      <c r="I1" s="108" t="s">
        <v>86</v>
      </c>
    </row>
    <row r="2" spans="1:13">
      <c r="B2" s="107"/>
      <c r="C2" s="3"/>
      <c r="E2" s="2" t="s">
        <v>83</v>
      </c>
      <c r="G2" s="3">
        <f>YEAR(Introduction!D12)+YEARFRAC(DATE(YEAR(Introduction!D12),1,1),Introduction!D12,1)+YEARFRAC(Introduction!D12,Introduction!D13+1,1)/2</f>
        <v>2004.4496371685209</v>
      </c>
      <c r="I2" s="108" t="s">
        <v>102</v>
      </c>
      <c r="J2" s="111">
        <v>5</v>
      </c>
      <c r="L2" s="5" t="str">
        <f>IF(C5=D5, "增长率 =", "delta =")</f>
        <v>增长率 =</v>
      </c>
      <c r="M2" s="88">
        <v>-5.8520000000000004E-3</v>
      </c>
    </row>
    <row r="3" spans="1:13">
      <c r="A3" s="2" t="s">
        <v>59</v>
      </c>
      <c r="C3" s="2" t="str">
        <f>Introduction!D10</f>
        <v>女性</v>
      </c>
      <c r="E3" s="2" t="s">
        <v>84</v>
      </c>
      <c r="G3" s="3">
        <f>YEARFRAC(Introduction!D12,Introduction!D13+1,1)</f>
        <v>5.3540688575899837</v>
      </c>
      <c r="I3" s="108" t="s">
        <v>103</v>
      </c>
      <c r="J3" s="112">
        <v>84</v>
      </c>
      <c r="L3" s="127" t="s">
        <v>88</v>
      </c>
      <c r="M3" s="88">
        <f ca="1">AVEDEV(INDIRECT(ADDRESS(ROW(L8)+J2/5,L7)):INDIRECT(ADDRESS(ROW(L8)+INT(J3/5),L7)))</f>
        <v>1.1986671114543122E-2</v>
      </c>
    </row>
    <row r="4" spans="1:13">
      <c r="I4" s="2" t="str">
        <f>"(上限年龄必须小于 " &amp; TEXT(MAX(B20:B24)+5,"0"&amp;")")</f>
        <v>(上限年龄必须小于 85)</v>
      </c>
    </row>
    <row r="5" spans="1:13">
      <c r="C5" s="87"/>
      <c r="D5" s="87"/>
      <c r="I5" s="4"/>
      <c r="J5" s="4"/>
      <c r="K5" s="89"/>
      <c r="L5" s="89"/>
      <c r="M5" s="89"/>
    </row>
    <row r="6" spans="1:13" ht="28.8">
      <c r="A6" s="90" t="s">
        <v>68</v>
      </c>
      <c r="B6" s="90" t="s">
        <v>0</v>
      </c>
      <c r="C6" s="91" t="s">
        <v>46</v>
      </c>
      <c r="D6" s="91" t="s">
        <v>47</v>
      </c>
      <c r="E6" s="91" t="s">
        <v>48</v>
      </c>
      <c r="F6" s="91" t="s">
        <v>49</v>
      </c>
      <c r="G6" s="92" t="s">
        <v>50</v>
      </c>
      <c r="H6" s="128" t="s">
        <v>116</v>
      </c>
      <c r="I6" s="128" t="s">
        <v>117</v>
      </c>
      <c r="J6" s="128" t="s">
        <v>118</v>
      </c>
      <c r="K6" s="128" t="s">
        <v>119</v>
      </c>
      <c r="L6" s="128" t="s">
        <v>120</v>
      </c>
      <c r="M6" s="93"/>
    </row>
    <row r="7" spans="1:13">
      <c r="A7" s="94">
        <f>COLUMN()</f>
        <v>1</v>
      </c>
      <c r="B7" s="94">
        <f>COLUMN()</f>
        <v>2</v>
      </c>
      <c r="C7" s="94">
        <f>COLUMN()</f>
        <v>3</v>
      </c>
      <c r="D7" s="94">
        <f>COLUMN()</f>
        <v>4</v>
      </c>
      <c r="E7" s="94">
        <f>COLUMN()</f>
        <v>5</v>
      </c>
      <c r="F7" s="94">
        <f>COLUMN()</f>
        <v>6</v>
      </c>
      <c r="G7" s="94">
        <f>COLUMN()</f>
        <v>7</v>
      </c>
      <c r="H7" s="94">
        <f>COLUMN()</f>
        <v>8</v>
      </c>
      <c r="I7" s="94">
        <f>COLUMN()</f>
        <v>9</v>
      </c>
      <c r="J7" s="94">
        <f>COLUMN()</f>
        <v>10</v>
      </c>
      <c r="K7" s="94">
        <f>COLUMN()</f>
        <v>11</v>
      </c>
      <c r="L7" s="94">
        <f>COLUMN()</f>
        <v>12</v>
      </c>
      <c r="M7" s="94"/>
    </row>
    <row r="8" spans="1:13">
      <c r="A8" s="95" t="s">
        <v>5</v>
      </c>
      <c r="B8" s="96">
        <v>0</v>
      </c>
      <c r="C8" s="121">
        <v>2225307</v>
      </c>
      <c r="D8" s="121">
        <v>2487351.4</v>
      </c>
      <c r="E8" s="121">
        <v>209208.86579609307</v>
      </c>
      <c r="F8" s="121">
        <v>10642.906445235865</v>
      </c>
      <c r="G8" s="97">
        <f t="shared" ref="G8:G20" si="0">(LN(D8)-LN(C8))/G$3-F8/(C8*D8)^0.5/G$3+M$2</f>
        <v>1.4095415410660436E-2</v>
      </c>
      <c r="H8" s="98"/>
      <c r="I8" s="98"/>
      <c r="J8" s="99">
        <f t="shared" ref="J8:J18" si="1">G$3*SQRT(C8*D8)</f>
        <v>12596430.404348187</v>
      </c>
      <c r="K8" s="89"/>
      <c r="L8" s="89"/>
      <c r="M8" s="89"/>
    </row>
    <row r="9" spans="1:13">
      <c r="A9" s="95" t="s">
        <v>6</v>
      </c>
      <c r="B9" s="96">
        <v>5</v>
      </c>
      <c r="C9" s="121">
        <v>2427103</v>
      </c>
      <c r="D9" s="121">
        <v>2550916</v>
      </c>
      <c r="E9" s="121">
        <v>22995.116471222565</v>
      </c>
      <c r="F9" s="121">
        <v>3810.4340464765278</v>
      </c>
      <c r="G9" s="97">
        <f t="shared" si="0"/>
        <v>3.1547515101071856E-3</v>
      </c>
      <c r="H9" s="99">
        <f t="shared" ref="H9:H18" si="2">H10*EXP(5*G9)+E9*EXP(2.5*G9)</f>
        <v>1843686.4080693056</v>
      </c>
      <c r="I9" s="99">
        <f t="shared" ref="I9:I19" si="3">2.5*(H9+H10)</f>
        <v>9089261.6188490354</v>
      </c>
      <c r="J9" s="99">
        <f t="shared" si="1"/>
        <v>13322205.689245712</v>
      </c>
      <c r="K9" s="100">
        <f>I9/J9</f>
        <v>0.68226402075343273</v>
      </c>
      <c r="L9" s="100">
        <f>SUM(I9:I$24)/SUM(J9:J$24)</f>
        <v>0.72829896728276089</v>
      </c>
      <c r="M9" s="100"/>
    </row>
    <row r="10" spans="1:13">
      <c r="A10" s="95" t="s">
        <v>7</v>
      </c>
      <c r="B10" s="96">
        <v>10</v>
      </c>
      <c r="C10" s="121">
        <v>2542977</v>
      </c>
      <c r="D10" s="121">
        <v>2488108.7000000002</v>
      </c>
      <c r="E10" s="121">
        <v>15173.263383784037</v>
      </c>
      <c r="F10" s="121">
        <v>3835.3498548006219</v>
      </c>
      <c r="G10" s="97">
        <f t="shared" si="0"/>
        <v>-1.0210802723768592E-2</v>
      </c>
      <c r="H10" s="99">
        <f t="shared" si="2"/>
        <v>1792018.2394703079</v>
      </c>
      <c r="I10" s="99">
        <f t="shared" si="3"/>
        <v>9155840.8532951735</v>
      </c>
      <c r="J10" s="99">
        <f t="shared" si="1"/>
        <v>13467588.659579288</v>
      </c>
      <c r="K10" s="100">
        <f t="shared" ref="K10:K19" si="4">I10/J10</f>
        <v>0.67984262697114417</v>
      </c>
      <c r="L10" s="100">
        <f>SUM(I10:I$24)/SUM(J10:J$24)</f>
        <v>0.73426773632839359</v>
      </c>
      <c r="M10" s="100"/>
    </row>
    <row r="11" spans="1:13">
      <c r="A11" s="95" t="s">
        <v>8</v>
      </c>
      <c r="B11" s="96">
        <v>15</v>
      </c>
      <c r="C11" s="121">
        <v>2528703</v>
      </c>
      <c r="D11" s="121">
        <v>2534285</v>
      </c>
      <c r="E11" s="121">
        <v>35666.279191086651</v>
      </c>
      <c r="F11" s="121">
        <v>9875.0936904858791</v>
      </c>
      <c r="G11" s="97">
        <f t="shared" si="0"/>
        <v>-6.1687450890536132E-3</v>
      </c>
      <c r="H11" s="99">
        <f t="shared" si="2"/>
        <v>1870318.1018477613</v>
      </c>
      <c r="I11" s="99">
        <f t="shared" si="3"/>
        <v>9407505.1661049481</v>
      </c>
      <c r="J11" s="99">
        <f t="shared" si="1"/>
        <v>13553784.951048747</v>
      </c>
      <c r="K11" s="100">
        <f t="shared" si="4"/>
        <v>0.69408694324731979</v>
      </c>
      <c r="L11" s="100">
        <f>SUM(I11:I$24)/SUM(J11:J$24)</f>
        <v>0.7424774213776838</v>
      </c>
      <c r="M11" s="100"/>
    </row>
    <row r="12" spans="1:13">
      <c r="A12" s="95" t="s">
        <v>9</v>
      </c>
      <c r="B12" s="96">
        <v>20</v>
      </c>
      <c r="C12" s="121">
        <v>2195331</v>
      </c>
      <c r="D12" s="121">
        <v>2422487.4</v>
      </c>
      <c r="E12" s="121">
        <v>95993.382315813404</v>
      </c>
      <c r="F12" s="121">
        <v>9366.0098454308609</v>
      </c>
      <c r="G12" s="97">
        <f t="shared" si="0"/>
        <v>1.177957172607946E-2</v>
      </c>
      <c r="H12" s="99">
        <f t="shared" si="2"/>
        <v>1892683.9645942177</v>
      </c>
      <c r="I12" s="99">
        <f t="shared" si="3"/>
        <v>8959761.263823837</v>
      </c>
      <c r="J12" s="99">
        <f t="shared" si="1"/>
        <v>12347093.039559284</v>
      </c>
      <c r="K12" s="100">
        <f t="shared" si="4"/>
        <v>0.72565754830852447</v>
      </c>
      <c r="L12" s="100">
        <f>SUM(I12:I$24)/SUM(J12:J$24)</f>
        <v>0.75113834604198881</v>
      </c>
      <c r="M12" s="100"/>
    </row>
    <row r="13" spans="1:13">
      <c r="A13" s="95" t="s">
        <v>10</v>
      </c>
      <c r="B13" s="96">
        <v>25</v>
      </c>
      <c r="C13" s="121">
        <v>2035931</v>
      </c>
      <c r="D13" s="121">
        <v>2021156.4</v>
      </c>
      <c r="E13" s="121">
        <v>152717.89300178536</v>
      </c>
      <c r="F13" s="121">
        <v>-2709.8489435751544</v>
      </c>
      <c r="G13" s="97">
        <f t="shared" si="0"/>
        <v>-6.9628406122893552E-3</v>
      </c>
      <c r="H13" s="99">
        <f t="shared" si="2"/>
        <v>1691220.5409353175</v>
      </c>
      <c r="I13" s="99">
        <f t="shared" si="3"/>
        <v>8217392.3452846911</v>
      </c>
      <c r="J13" s="99">
        <f t="shared" si="1"/>
        <v>10860890.632190835</v>
      </c>
      <c r="K13" s="100">
        <f t="shared" si="4"/>
        <v>0.75660391247555514</v>
      </c>
      <c r="L13" s="100">
        <f>SUM(I13:I$24)/SUM(J13:J$24)</f>
        <v>0.75610220671788331</v>
      </c>
      <c r="M13" s="100"/>
    </row>
    <row r="14" spans="1:13">
      <c r="A14" s="95" t="s">
        <v>11</v>
      </c>
      <c r="B14" s="96">
        <v>30</v>
      </c>
      <c r="C14" s="121">
        <v>1746535</v>
      </c>
      <c r="D14" s="121">
        <v>1850429.3</v>
      </c>
      <c r="E14" s="121">
        <v>166487.53669918844</v>
      </c>
      <c r="F14" s="121">
        <v>5823.3243243759562</v>
      </c>
      <c r="G14" s="97">
        <f t="shared" si="0"/>
        <v>4.3355004742401367E-3</v>
      </c>
      <c r="H14" s="99">
        <f t="shared" si="2"/>
        <v>1595736.3971785591</v>
      </c>
      <c r="I14" s="99">
        <f t="shared" si="3"/>
        <v>7481401.7148874803</v>
      </c>
      <c r="J14" s="99">
        <f t="shared" si="1"/>
        <v>9625179.714745108</v>
      </c>
      <c r="K14" s="100">
        <f t="shared" si="4"/>
        <v>0.77727397686159472</v>
      </c>
      <c r="L14" s="100">
        <f>SUM(I14:I$24)/SUM(J14:J$24)</f>
        <v>0.7559984562592672</v>
      </c>
      <c r="M14" s="100"/>
    </row>
    <row r="15" spans="1:13">
      <c r="A15" s="95" t="s">
        <v>12</v>
      </c>
      <c r="B15" s="96">
        <v>35</v>
      </c>
      <c r="C15" s="121">
        <v>1630368</v>
      </c>
      <c r="D15" s="121">
        <v>1664349.2</v>
      </c>
      <c r="E15" s="121">
        <v>137837.4745827165</v>
      </c>
      <c r="F15" s="121">
        <v>3023.4822918235664</v>
      </c>
      <c r="G15" s="97">
        <f t="shared" si="0"/>
        <v>-2.341964700275576E-3</v>
      </c>
      <c r="H15" s="99">
        <f t="shared" si="2"/>
        <v>1396824.2887764331</v>
      </c>
      <c r="I15" s="99">
        <f t="shared" si="3"/>
        <v>6678636.0415046271</v>
      </c>
      <c r="J15" s="99">
        <f t="shared" si="1"/>
        <v>8819602.2458316516</v>
      </c>
      <c r="K15" s="100">
        <f t="shared" si="4"/>
        <v>0.75724912023794555</v>
      </c>
      <c r="L15" s="100">
        <f>SUM(I15:I$24)/SUM(J15:J$24)</f>
        <v>0.75122443381895554</v>
      </c>
      <c r="M15" s="100"/>
    </row>
    <row r="16" spans="1:13">
      <c r="A16" s="95" t="s">
        <v>13</v>
      </c>
      <c r="B16" s="96">
        <v>40</v>
      </c>
      <c r="C16" s="121">
        <v>1385983</v>
      </c>
      <c r="D16" s="121">
        <v>1520926.4</v>
      </c>
      <c r="E16" s="121">
        <v>111909.59377900088</v>
      </c>
      <c r="F16" s="121">
        <v>-407.13102646822244</v>
      </c>
      <c r="G16" s="97">
        <f t="shared" si="0"/>
        <v>1.1553529351199833E-2</v>
      </c>
      <c r="H16" s="99">
        <f t="shared" si="2"/>
        <v>1274630.1278254176</v>
      </c>
      <c r="I16" s="99">
        <f t="shared" si="3"/>
        <v>5922477.0916622644</v>
      </c>
      <c r="J16" s="99">
        <f t="shared" si="1"/>
        <v>7773507.1640933752</v>
      </c>
      <c r="K16" s="100">
        <f t="shared" si="4"/>
        <v>0.76187967241077381</v>
      </c>
      <c r="L16" s="100">
        <f>SUM(I16:I$24)/SUM(J16:J$24)</f>
        <v>0.74966507831506113</v>
      </c>
      <c r="M16" s="100"/>
    </row>
    <row r="17" spans="1:20">
      <c r="A17" s="95" t="s">
        <v>14</v>
      </c>
      <c r="B17" s="96">
        <v>45</v>
      </c>
      <c r="C17" s="121">
        <v>1119920</v>
      </c>
      <c r="D17" s="121">
        <v>1294503.5</v>
      </c>
      <c r="E17" s="121">
        <v>85283.831320116951</v>
      </c>
      <c r="F17" s="121">
        <v>1671.1991916635457</v>
      </c>
      <c r="G17" s="97">
        <f t="shared" si="0"/>
        <v>2.0946682258933935E-2</v>
      </c>
      <c r="H17" s="99">
        <f t="shared" si="2"/>
        <v>1094360.708839488</v>
      </c>
      <c r="I17" s="99">
        <f t="shared" si="3"/>
        <v>4997426.180048259</v>
      </c>
      <c r="J17" s="99">
        <f t="shared" si="1"/>
        <v>6446575.4062927132</v>
      </c>
      <c r="K17" s="100">
        <f t="shared" si="4"/>
        <v>0.77520634834583768</v>
      </c>
      <c r="L17" s="100">
        <f>SUM(I17:I$24)/SUM(J17:J$24)</f>
        <v>0.74605503447022892</v>
      </c>
      <c r="M17" s="100"/>
    </row>
    <row r="18" spans="1:20">
      <c r="A18" s="95" t="s">
        <v>15</v>
      </c>
      <c r="B18" s="96">
        <v>50</v>
      </c>
      <c r="C18" s="121">
        <v>868636</v>
      </c>
      <c r="D18" s="121">
        <v>1074540.7</v>
      </c>
      <c r="E18" s="121">
        <v>76940.660348363497</v>
      </c>
      <c r="F18" s="121">
        <v>3117.7360718706113</v>
      </c>
      <c r="G18" s="97">
        <f t="shared" si="0"/>
        <v>3.3276625201925036E-2</v>
      </c>
      <c r="H18" s="99">
        <f t="shared" si="2"/>
        <v>904609.76317981549</v>
      </c>
      <c r="I18" s="99">
        <f t="shared" si="3"/>
        <v>3999409.2063986999</v>
      </c>
      <c r="J18" s="99">
        <f t="shared" si="1"/>
        <v>5172664.3624461759</v>
      </c>
      <c r="K18" s="100">
        <f t="shared" si="4"/>
        <v>0.77318165768392555</v>
      </c>
      <c r="L18" s="100">
        <f>SUM(I18:I$24)/SUM(J18:J$24)</f>
        <v>0.73659015865573174</v>
      </c>
      <c r="M18" s="100"/>
    </row>
    <row r="19" spans="1:20">
      <c r="A19" s="95" t="s">
        <v>16</v>
      </c>
      <c r="B19" s="96">
        <v>55</v>
      </c>
      <c r="C19" s="121">
        <v>653030</v>
      </c>
      <c r="D19" s="121">
        <v>849485.89391343389</v>
      </c>
      <c r="E19" s="121">
        <v>57352.505794749988</v>
      </c>
      <c r="F19" s="121">
        <v>4658.6100263039698</v>
      </c>
      <c r="G19" s="97">
        <f t="shared" si="0"/>
        <v>4.2102835364203124E-2</v>
      </c>
      <c r="H19" s="99">
        <f>H20*EXP(5*G19)+E19*EXP(2.5*G19)</f>
        <v>695153.91937966435</v>
      </c>
      <c r="I19" s="99">
        <f t="shared" si="3"/>
        <v>3016806.2163248868</v>
      </c>
      <c r="J19" s="99">
        <f>G$3*SQRT(C19*D19)</f>
        <v>3987756.2521751942</v>
      </c>
      <c r="K19" s="100">
        <f t="shared" si="4"/>
        <v>0.75651720555370328</v>
      </c>
      <c r="L19" s="100">
        <f>SUM(I19:I$24)/SUM(J19:J$24)</f>
        <v>0.72369887625882612</v>
      </c>
      <c r="M19" s="100"/>
    </row>
    <row r="20" spans="1:20">
      <c r="A20" s="95" t="s">
        <v>17</v>
      </c>
      <c r="B20" s="96">
        <v>60</v>
      </c>
      <c r="C20" s="121">
        <v>620861</v>
      </c>
      <c r="D20" s="121">
        <v>647158.57880766876</v>
      </c>
      <c r="E20" s="121">
        <v>69219.721787964678</v>
      </c>
      <c r="F20" s="121">
        <v>3093.8455808881095</v>
      </c>
      <c r="G20" s="97">
        <f t="shared" si="0"/>
        <v>9.8453547883999969E-4</v>
      </c>
      <c r="H20" s="99">
        <f>H21*EXP(5*G20)+E20*EXP(2.5*G20)</f>
        <v>511568.56715029047</v>
      </c>
      <c r="I20" s="99">
        <f>IF(J$3&gt;59,2.5*(H20+H21),0)</f>
        <v>2378938.6934229829</v>
      </c>
      <c r="J20" s="99">
        <f>IF(J$3&gt;59,G$3*SQRT(C20*D20),0)</f>
        <v>3393801.9791260557</v>
      </c>
      <c r="K20" s="100">
        <f>IF(J$3&gt;60,I20/J20,NA())</f>
        <v>0.70096567450160652</v>
      </c>
      <c r="L20" s="100">
        <f>IF(J$3&gt;60,SUM(I20:I$24)/SUM(J20:J$24),NA())</f>
        <v>0.71146182078133358</v>
      </c>
      <c r="M20" s="100"/>
    </row>
    <row r="21" spans="1:20">
      <c r="A21" s="109" t="str">
        <f>IF(E21="","", IF(E22="","65+", "65-69"))</f>
        <v>65-69</v>
      </c>
      <c r="B21" s="2">
        <f>IF(E22="","",65)</f>
        <v>65</v>
      </c>
      <c r="C21" s="121">
        <v>483263</v>
      </c>
      <c r="D21" s="121">
        <v>553050.20290078165</v>
      </c>
      <c r="E21" s="121">
        <v>67007.056889691448</v>
      </c>
      <c r="F21" s="121">
        <v>4356.809071938259</v>
      </c>
      <c r="G21" s="97">
        <f>IF(C21="","",IF(J$3&gt;64,(LN(D21)-LN(C21))/G$3-F21/(C21*D21)^0.5/G$3+M$2, IF(J$3=64,(LN(SUM(D21:D$25))-LN(SUM(C21:C$25)))/G$3-SUM(F21:F$25)/(SUM(C21:C$25)*SUM(D21:D$25))^0.5/G$3+M$2,0)))</f>
        <v>1.7767484133635963E-2</v>
      </c>
      <c r="H21" s="99">
        <f>IF(J$3&gt;64,H22*EXP(5*G21)+E21*EXP(2.5*G21),IF(J$3=64,(EXP(G21*T28)-(G21*T28)^2/6)*SUM(E21:E$25),0))</f>
        <v>440006.91021890263</v>
      </c>
      <c r="I21" s="99">
        <f>IF(J$3&gt;64,2.5*(H21+H22),0)</f>
        <v>1946287.2726236726</v>
      </c>
      <c r="J21" s="99">
        <f>IF(J$3&gt;64,G$3*SQRT(C21*D21),0)</f>
        <v>2767948.4847058374</v>
      </c>
      <c r="K21" s="100">
        <f>IF(J$3&gt;B21,I21/J21,NA())</f>
        <v>0.70315155190849354</v>
      </c>
      <c r="L21" s="100">
        <f>IF(J$3&gt;B21,SUM(I21:I$24)/SUM(J21:J$24),NA())</f>
        <v>0.71634093256867259</v>
      </c>
      <c r="M21" s="100"/>
    </row>
    <row r="22" spans="1:20">
      <c r="A22" s="109" t="str">
        <f>IF(E22="","", IF(E23="","70+", "70-74"))</f>
        <v>70-74</v>
      </c>
      <c r="B22" s="2">
        <f>IF(E23="","",70)</f>
        <v>70</v>
      </c>
      <c r="C22" s="121">
        <v>399032</v>
      </c>
      <c r="D22" s="121">
        <v>413776.35931542347</v>
      </c>
      <c r="E22" s="121">
        <v>69536.289281906822</v>
      </c>
      <c r="F22" s="121">
        <v>3383.877548394757</v>
      </c>
      <c r="G22" s="97">
        <f>IF(C22="","",IF(J$3&gt;69,(LN(D22)-LN(C22))/G$3-F22/(C22*D22)^0.5/G$3+M$2, IF(J$3=69,(LN(SUM(D22:D$25))-LN(SUM(C22:C$25)))/G$3-SUM(F22:F$25)/(SUM(C22:C$25)*SUM(D22:D$25))^0.5/G$3+M$2,0)))</f>
        <v>-6.3050125688322769E-4</v>
      </c>
      <c r="H22" s="99">
        <f>IF(J$3&gt;69,H23*EXP(5*G22)+E22*EXP(2.5*G22),IF(J$3=69,(EXP(G22*T29)-(G22*T29)^2/6)*SUM(E22:E$25),0))</f>
        <v>338507.99883056636</v>
      </c>
      <c r="I22" s="99">
        <f>IF(J$3&gt;69,2.5*(H22+H23),0)</f>
        <v>1521097.1190356947</v>
      </c>
      <c r="J22" s="99">
        <f>IF(J$3&gt;69,G$3*SQRT(C22*D22),0)</f>
        <v>2175557.9286643579</v>
      </c>
      <c r="K22" s="100">
        <f>IF(J$3&gt;B22,I22/J22,NA())</f>
        <v>0.69917564547202993</v>
      </c>
      <c r="L22" s="100">
        <f>IF(J$3&gt;B22,SUM(I22:I$24)/SUM(J22:J$24),NA())</f>
        <v>0.72439476543328152</v>
      </c>
      <c r="M22" s="100"/>
    </row>
    <row r="23" spans="1:20">
      <c r="A23" s="109" t="str">
        <f>IF(E23="","", IF(E24="","75+", "75-79"))</f>
        <v>75-79</v>
      </c>
      <c r="B23" s="2">
        <f>IF(E24="","",75)</f>
        <v>75</v>
      </c>
      <c r="C23" s="121">
        <v>231155</v>
      </c>
      <c r="D23" s="121">
        <v>304906.3815560232</v>
      </c>
      <c r="E23" s="121">
        <v>61941.708099890988</v>
      </c>
      <c r="F23" s="121">
        <v>1660.3422397317063</v>
      </c>
      <c r="G23" s="97">
        <f>IF(C23="","",IF(J$3&gt;74,(LN(D23)-LN(C23))/G$3-F23/(C23*D23)^0.5/G$3+M$2, IF(J$3=74,(LN(SUM(D23:D$25))-LN(SUM(C23:C$25)))/G$3-SUM(F23:F$25)/(SUM(C23:C$25)*SUM(D23:D$25))^0.5/G$3+M$2,0)))</f>
        <v>4.4700624582068915E-2</v>
      </c>
      <c r="H23" s="99">
        <f>IF(J$3&gt;74,H24*EXP(5*G23)+E23*EXP(2.5*G23),IF(J$3=74,(EXP(G23*T30)-(G23*T30)^2/6)*SUM(E23:E$25),0))</f>
        <v>269930.84878371155</v>
      </c>
      <c r="I23" s="99">
        <f>IF(J$3&gt;74,2.5*(H23+H24),0)</f>
        <v>1076013.7646862974</v>
      </c>
      <c r="J23" s="99">
        <f>IF(J$3&gt;74,G$3*SQRT(C23*D23),0)</f>
        <v>1421408.3266686981</v>
      </c>
      <c r="K23" s="100">
        <f>IF(J$3&gt;B23,I23/J23,NA())</f>
        <v>0.75700539000507394</v>
      </c>
      <c r="L23" s="100">
        <f>IF(J$3&gt;B23,SUM(I23:I$24)/SUM(J23:J$24),NA())</f>
        <v>0.74766876085620437</v>
      </c>
      <c r="M23" s="100"/>
    </row>
    <row r="24" spans="1:20">
      <c r="A24" s="109" t="str">
        <f>IF(E24="","", IF(E25="","80+", "80-84"))</f>
        <v>80-84</v>
      </c>
      <c r="B24" s="2">
        <f>IF(E25="","",80)</f>
        <v>80</v>
      </c>
      <c r="C24" s="121">
        <v>180151</v>
      </c>
      <c r="D24" s="121">
        <v>169637.17457712468</v>
      </c>
      <c r="E24" s="121">
        <v>58409.804282709672</v>
      </c>
      <c r="F24" s="121">
        <v>401.33458010101998</v>
      </c>
      <c r="G24" s="97">
        <f>IF(C24="","",IF(J$3&gt;79,(LN(D24)-LN(C24))/G$3-F24/(C24*D24)^0.5/G$3+M$2, IF(J$3=79,(LN(SUM(D24:D$25))-LN(SUM(C24:C$25)))/G$3-SUM(F24:F$25)/(SUM(C24:C$25)*SUM(D24:D$25))^0.5/G$3+M$2,0)))</f>
        <v>-1.7512153665586127E-2</v>
      </c>
      <c r="H24" s="99">
        <f>IF(J$3&gt;79,H25*EXP(5*G24)+E24*EXP(2.5*G24),IF(J$3=79,(EXP(G24*T31)-(G24*T31)^2/6)*SUM(E24:E$25),0))</f>
        <v>160474.65709080739</v>
      </c>
      <c r="I24" s="99">
        <f>IF(J$3&gt;79,2.5*(H24+H25),0)</f>
        <v>686525.78118857695</v>
      </c>
      <c r="J24" s="99">
        <f>IF(J$3&gt;79,G$3*SQRT(C24*D24),0)</f>
        <v>935971.89055005391</v>
      </c>
      <c r="K24" s="100">
        <f>IF(J$3&gt;B24,I24/J24,NA())</f>
        <v>0.73348974271558309</v>
      </c>
      <c r="L24" s="100">
        <f>IF(J$3&gt;B24,SUM(I24:I$24)/SUM(J24:J$24),NA())</f>
        <v>0.73348974271558309</v>
      </c>
      <c r="M24" s="100"/>
    </row>
    <row r="25" spans="1:20">
      <c r="A25" s="109" t="str">
        <f>IF(E25="","","85+")</f>
        <v>85+</v>
      </c>
      <c r="C25" s="121">
        <v>111445</v>
      </c>
      <c r="D25" s="121">
        <v>156424.88882916409</v>
      </c>
      <c r="E25" s="121">
        <v>83753.442304282275</v>
      </c>
      <c r="F25" s="121">
        <v>1807.3977394888971</v>
      </c>
      <c r="G25" s="97">
        <f>IF(C25="","",IF(J$3&gt;84,(LN(D25)-LN(C25))/G$3-F25/(C25*D25)^0.5/G$3+M$2, IF(J$3=84,(LN(SUM(D25:D$25))-LN(SUM(C25:C$25)))/G$3-SUM(F25:F$25)/(SUM(C25:C$25)*SUM(D25:D$25))^0.5/G$3+M$2,0)))</f>
        <v>5.4915950943003132E-2</v>
      </c>
      <c r="H25" s="99">
        <f>IF(J$3&gt;84,H26*EXP(5*G25)+E25*EXP(2.5*G25),IF(J$3=84,(EXP(G25*T32)-(G25*T32)^2/6)*SUM(E25:E$25),0))</f>
        <v>114135.65538462337</v>
      </c>
      <c r="I25" s="99"/>
      <c r="J25" s="99"/>
      <c r="K25" s="89"/>
      <c r="L25" s="89"/>
      <c r="M25" s="89"/>
    </row>
    <row r="26" spans="1:20">
      <c r="A26" s="101"/>
      <c r="B26" s="102"/>
      <c r="C26" s="103"/>
      <c r="D26" s="103"/>
      <c r="E26" s="103"/>
      <c r="G26" s="89"/>
      <c r="H26" s="4" t="s">
        <v>18</v>
      </c>
      <c r="I26" s="4"/>
      <c r="J26" s="4"/>
      <c r="K26" s="89"/>
      <c r="L26" s="89"/>
      <c r="M26" s="89"/>
      <c r="P26" s="86"/>
    </row>
    <row r="27" spans="1:20">
      <c r="A27" s="101" t="s">
        <v>85</v>
      </c>
      <c r="B27" s="102"/>
      <c r="C27" s="104">
        <f>SUM(C8:C26)</f>
        <v>23385731</v>
      </c>
      <c r="D27" s="104">
        <f>SUM(D8:D26)</f>
        <v>25003493.479899619</v>
      </c>
      <c r="E27" s="104">
        <f t="shared" ref="E27:F27" si="5">SUM(E8:E26)</f>
        <v>1577434.4253303672</v>
      </c>
      <c r="F27" s="104">
        <f t="shared" si="5"/>
        <v>67410.772578966775</v>
      </c>
      <c r="G27" s="100">
        <f>(LN(D27-D8-D9-D26)-LN(C27-C8-C9-C26))/G3</f>
        <v>1.1895299834276039E-2</v>
      </c>
      <c r="H27" s="100"/>
      <c r="I27" s="4"/>
      <c r="J27" s="98"/>
      <c r="P27" s="115" t="str">
        <f>TEXT(Q32,"#")&amp;"-"&amp;TEXT(Q33,"#")&amp;"岁平均 "&amp;":"</f>
        <v>25-64岁平均 :</v>
      </c>
      <c r="Q27" s="116" t="s">
        <v>107</v>
      </c>
      <c r="S27" s="110" t="s">
        <v>51</v>
      </c>
      <c r="T27" s="110" t="s">
        <v>25</v>
      </c>
    </row>
    <row r="28" spans="1:20">
      <c r="C28" s="4"/>
      <c r="D28" s="4"/>
      <c r="E28" s="4"/>
      <c r="F28" s="4"/>
      <c r="I28" s="4"/>
      <c r="O28" s="105" t="s">
        <v>121</v>
      </c>
      <c r="P28" s="117">
        <f ca="1">MEDIAN(INDIRECT(ADDRESS(ROW(K8)+Q32/5,K7)):INDIRECT(ADDRESS(ROW(K8)+Q33/5,K7)))*0.5+(PERCENTILE(INDIRECT(ADDRESS(ROW(K8)+Q32/5,K7)):INDIRECT(ADDRESS(ROW(K8)+Q33/5,K7)),0.25)+PERCENTILE(INDIRECT(ADDRESS(ROW(K8)+Q32/5,K7)):INDIRECT(ADDRESS(ROW(K8)+Q33/5,K7)),0.75))*0.25</f>
        <v>0.76234971468580381</v>
      </c>
      <c r="Q28" s="113">
        <f>L11</f>
        <v>0.7424774213776838</v>
      </c>
      <c r="S28" s="94">
        <v>65</v>
      </c>
      <c r="T28" s="118">
        <v>14.522096245467738</v>
      </c>
    </row>
    <row r="29" spans="1:20">
      <c r="C29" s="4"/>
      <c r="D29" s="4"/>
      <c r="E29" s="4"/>
      <c r="F29" s="4"/>
      <c r="I29" s="4"/>
      <c r="O29" s="105" t="s">
        <v>104</v>
      </c>
      <c r="P29" s="113">
        <f ca="1">P28-(PERCENTILE(INDIRECT(ADDRESS(ROW(K8)+Q32/5,K7)):INDIRECT(ADDRESS(ROW(K8)+Q33/5,K7)),0.75)-PERCENTILE(INDIRECT(ADDRESS(ROW(K8)+Q32/5,K7)):INDIRECT(ADDRESS(ROW(K8)+Q33/5,K7)),0.25))</f>
        <v>0.74524412008149243</v>
      </c>
      <c r="Q29" s="114"/>
      <c r="S29" s="94">
        <v>70</v>
      </c>
      <c r="T29" s="118">
        <v>11.877226114762793</v>
      </c>
    </row>
    <row r="30" spans="1:20">
      <c r="C30" s="4"/>
      <c r="D30" s="4"/>
      <c r="E30" s="4"/>
      <c r="F30" s="4"/>
      <c r="I30" s="4"/>
      <c r="M30" s="89"/>
      <c r="O30" s="105" t="s">
        <v>105</v>
      </c>
      <c r="P30" s="113">
        <f ca="1">P28+(PERCENTILE(INDIRECT(ADDRESS(ROW(K8)+Q32/5,K7)):INDIRECT(ADDRESS(ROW(K8)+Q33/5,K7)),0.75)-PERCENTILE(INDIRECT(ADDRESS(ROW(K8)+Q32/5,K7)):INDIRECT(ADDRESS(ROW(K8)+Q33/5,K7)),0.25))</f>
        <v>0.77945530929011519</v>
      </c>
      <c r="Q30" s="114"/>
      <c r="S30" s="94">
        <v>75</v>
      </c>
      <c r="T30" s="118">
        <v>9.5584524796952479</v>
      </c>
    </row>
    <row r="31" spans="1:20">
      <c r="C31" s="4"/>
      <c r="D31" s="4"/>
      <c r="E31" s="4"/>
      <c r="F31" s="4"/>
      <c r="I31" s="4"/>
      <c r="J31" s="4"/>
      <c r="P31" s="2" t="s">
        <v>87</v>
      </c>
      <c r="S31" s="94">
        <v>80</v>
      </c>
      <c r="T31" s="118">
        <v>7.5390482874566045</v>
      </c>
    </row>
    <row r="32" spans="1:20">
      <c r="C32" s="4"/>
      <c r="D32" s="4"/>
      <c r="E32" s="4"/>
      <c r="F32" s="4"/>
      <c r="I32" s="4"/>
      <c r="J32" s="4"/>
      <c r="P32" s="5" t="s">
        <v>106</v>
      </c>
      <c r="Q32" s="111">
        <v>25</v>
      </c>
      <c r="S32" s="94">
        <v>85</v>
      </c>
      <c r="T32" s="118">
        <v>5.865704755708264</v>
      </c>
    </row>
    <row r="33" spans="3:17">
      <c r="C33" s="4"/>
      <c r="D33" s="4"/>
      <c r="E33" s="4"/>
      <c r="F33" s="4"/>
      <c r="I33" s="4"/>
      <c r="J33" s="4"/>
      <c r="P33" s="5" t="s">
        <v>103</v>
      </c>
      <c r="Q33" s="112">
        <v>64</v>
      </c>
    </row>
    <row r="34" spans="3:17">
      <c r="C34" s="4"/>
      <c r="D34" s="4"/>
      <c r="E34" s="4"/>
      <c r="F34" s="4"/>
      <c r="I34" s="4"/>
      <c r="J34" s="4"/>
      <c r="M34" s="89"/>
    </row>
    <row r="37" spans="3:17">
      <c r="C37" s="4"/>
      <c r="D37" s="3"/>
      <c r="E37" s="3"/>
      <c r="F37" s="3"/>
      <c r="G37" s="3"/>
      <c r="H37" s="3"/>
      <c r="I37" s="3"/>
      <c r="J37" s="3"/>
      <c r="K37" s="89"/>
      <c r="L37" s="89"/>
      <c r="M37" s="89"/>
    </row>
    <row r="38" spans="3:17">
      <c r="C38" s="4"/>
      <c r="D38" s="106"/>
      <c r="E38" s="106"/>
      <c r="F38" s="4"/>
      <c r="G38" s="89"/>
      <c r="H38" s="4"/>
      <c r="I38" s="4"/>
      <c r="J38" s="4"/>
      <c r="K38" s="89"/>
      <c r="L38" s="89"/>
      <c r="M38" s="89"/>
    </row>
  </sheetData>
  <protectedRanges>
    <protectedRange sqref="T28:T32" name="Range3"/>
    <protectedRange sqref="J2:J3" name="Range1"/>
    <protectedRange sqref="Q32:Q33" name="Range2"/>
    <protectedRange sqref="E8:E25" name="Range1_1"/>
  </protectedRanges>
  <dataConsolidate/>
  <phoneticPr fontId="3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topLeftCell="K1" zoomScaleNormal="100" workbookViewId="0">
      <selection activeCell="J5" sqref="J5"/>
    </sheetView>
  </sheetViews>
  <sheetFormatPr defaultColWidth="9.109375" defaultRowHeight="13.2"/>
  <cols>
    <col min="1" max="1" width="11.33203125" style="49" customWidth="1"/>
    <col min="2" max="2" width="9.33203125" style="49" customWidth="1"/>
    <col min="3" max="3" width="11.88671875" style="49" customWidth="1"/>
    <col min="4" max="4" width="10.33203125" style="49" customWidth="1"/>
    <col min="5" max="5" width="11.44140625" style="49" customWidth="1"/>
    <col min="6" max="6" width="9.33203125" style="49" bestFit="1" customWidth="1"/>
    <col min="7" max="7" width="6.6640625" style="49" customWidth="1"/>
    <col min="8" max="9" width="9.33203125" style="49" bestFit="1" customWidth="1"/>
    <col min="10" max="10" width="9.6640625" style="49" bestFit="1" customWidth="1"/>
    <col min="11" max="11" width="9.88671875" style="49" customWidth="1"/>
    <col min="12" max="12" width="9.6640625" style="49" bestFit="1" customWidth="1"/>
    <col min="13" max="13" width="9.109375" style="49" customWidth="1"/>
    <col min="14" max="14" width="12.44140625" style="49" customWidth="1"/>
    <col min="15" max="15" width="10.109375" style="49" customWidth="1"/>
    <col min="16" max="16" width="9.33203125" style="49" bestFit="1" customWidth="1"/>
    <col min="17" max="17" width="10.33203125" style="49" customWidth="1"/>
    <col min="18" max="18" width="5.88671875" style="49" customWidth="1"/>
    <col min="19" max="16384" width="9.109375" style="49"/>
  </cols>
  <sheetData>
    <row r="1" spans="1:31">
      <c r="A1" s="45" t="s">
        <v>82</v>
      </c>
      <c r="B1" s="45"/>
      <c r="C1" s="45" t="str">
        <f>Introduction!D9</f>
        <v>南非</v>
      </c>
      <c r="D1" s="45"/>
      <c r="E1" s="45"/>
      <c r="F1" s="45"/>
      <c r="G1" s="45"/>
      <c r="H1" s="45"/>
      <c r="I1" s="45"/>
      <c r="J1" s="46"/>
      <c r="K1" s="45"/>
      <c r="L1" s="45"/>
      <c r="M1" s="45"/>
      <c r="N1" s="45"/>
      <c r="O1" s="47" t="s">
        <v>108</v>
      </c>
      <c r="P1" s="48"/>
      <c r="Q1" s="48"/>
      <c r="R1" s="45"/>
    </row>
    <row r="2" spans="1:31">
      <c r="A2" s="45" t="s">
        <v>59</v>
      </c>
      <c r="B2" s="45"/>
      <c r="C2" s="45" t="str">
        <f>Introduction!D10</f>
        <v>女性</v>
      </c>
      <c r="D2" s="45"/>
      <c r="E2" s="45"/>
      <c r="F2" s="45"/>
      <c r="G2" s="45"/>
      <c r="H2" s="45"/>
      <c r="I2" s="45"/>
      <c r="J2" s="46"/>
      <c r="K2" s="76" t="s">
        <v>100</v>
      </c>
      <c r="L2" s="50">
        <v>45</v>
      </c>
      <c r="M2" s="51" t="s">
        <v>1</v>
      </c>
      <c r="N2" s="52">
        <f ca="1">INTERCEPT(INDIRECT(ADDRESS(ROW(J7)+L2/5,J6)):INDIRECT(ADDRESS(ROW(J7)+L3/5,J6)),INDIRECT(ADDRESS(ROW(L7)+L2/5,L6)):INDIRECT(ADDRESS(ROW(L7)+L3/5,L6)))</f>
        <v>0.35375545779200301</v>
      </c>
      <c r="O2" s="48" t="s">
        <v>2</v>
      </c>
      <c r="P2" s="53">
        <f ca="1">1-N19/N10</f>
        <v>0.49315887090145871</v>
      </c>
      <c r="Q2" s="53"/>
      <c r="R2" s="45"/>
    </row>
    <row r="3" spans="1:31" ht="15.6">
      <c r="A3" s="1" t="s">
        <v>98</v>
      </c>
      <c r="B3" s="1"/>
      <c r="C3" s="1"/>
      <c r="D3" s="1"/>
      <c r="E3" s="120" t="s">
        <v>99</v>
      </c>
      <c r="F3" s="45"/>
      <c r="G3" s="45"/>
      <c r="H3" s="45"/>
      <c r="I3" s="45"/>
      <c r="J3" s="46"/>
      <c r="K3" s="76" t="s">
        <v>101</v>
      </c>
      <c r="L3" s="50">
        <v>80</v>
      </c>
      <c r="M3" s="51" t="s">
        <v>3</v>
      </c>
      <c r="N3" s="52">
        <f ca="1">SLOPE(INDIRECT(ADDRESS(ROW(J7)+L2/5,J6)):INDIRECT(ADDRESS(ROW(J7)+L3/5,J6)),INDIRECT(ADDRESS(ROW(L7)+L2/5,L6)):INDIRECT(ADDRESS(ROW(L7)+L3/5,L6)))</f>
        <v>0.98046547229707826</v>
      </c>
      <c r="O3" s="48" t="s">
        <v>4</v>
      </c>
      <c r="P3" s="53">
        <f ca="1">1-N17/N10</f>
        <v>0.41277756961629797</v>
      </c>
      <c r="Q3" s="53"/>
      <c r="R3" s="45"/>
    </row>
    <row r="4" spans="1:31">
      <c r="A4" s="45"/>
      <c r="B4" s="45"/>
      <c r="C4" s="45"/>
      <c r="D4" s="45"/>
      <c r="E4" s="45"/>
      <c r="F4" s="45"/>
      <c r="G4" s="45"/>
      <c r="H4" s="45"/>
      <c r="I4" s="45"/>
      <c r="J4" s="46"/>
      <c r="K4" s="45"/>
      <c r="L4" s="45"/>
      <c r="M4" s="45"/>
      <c r="N4" s="45"/>
      <c r="O4" s="45"/>
      <c r="P4" s="45"/>
      <c r="Q4" s="45"/>
      <c r="R4" s="45"/>
    </row>
    <row r="5" spans="1:31" ht="42.75" customHeight="1">
      <c r="A5" s="54" t="s">
        <v>68</v>
      </c>
      <c r="B5" s="55" t="s">
        <v>89</v>
      </c>
      <c r="C5" s="55" t="s">
        <v>90</v>
      </c>
      <c r="D5" s="55" t="s">
        <v>91</v>
      </c>
      <c r="E5" s="56" t="s">
        <v>92</v>
      </c>
      <c r="F5" s="56" t="s">
        <v>93</v>
      </c>
      <c r="G5" s="57" t="s">
        <v>0</v>
      </c>
      <c r="H5" s="58" t="s">
        <v>29</v>
      </c>
      <c r="I5" s="58" t="s">
        <v>30</v>
      </c>
      <c r="J5" s="129" t="s">
        <v>122</v>
      </c>
      <c r="K5" s="56" t="str">
        <f>'Model data'!B23&amp;" 条件 ls(x)"</f>
        <v>艾滋病 条件 ls(x)</v>
      </c>
      <c r="L5" s="59" t="s">
        <v>94</v>
      </c>
      <c r="M5" s="59" t="s">
        <v>95</v>
      </c>
      <c r="N5" s="60" t="s">
        <v>96</v>
      </c>
      <c r="O5" s="61" t="s">
        <v>31</v>
      </c>
      <c r="P5" s="62" t="s">
        <v>32</v>
      </c>
      <c r="Q5" s="63" t="s">
        <v>97</v>
      </c>
      <c r="R5" s="58" t="s">
        <v>68</v>
      </c>
    </row>
    <row r="6" spans="1:31">
      <c r="A6" s="64">
        <f>COLUMN()</f>
        <v>1</v>
      </c>
      <c r="B6" s="64"/>
      <c r="C6" s="64">
        <f>COLUMN()</f>
        <v>3</v>
      </c>
      <c r="D6" s="64">
        <f>COLUMN()</f>
        <v>4</v>
      </c>
      <c r="E6" s="64">
        <f>COLUMN()</f>
        <v>5</v>
      </c>
      <c r="F6" s="64">
        <f>COLUMN()</f>
        <v>6</v>
      </c>
      <c r="G6" s="64">
        <f>COLUMN()</f>
        <v>7</v>
      </c>
      <c r="H6" s="64">
        <f>COLUMN()</f>
        <v>8</v>
      </c>
      <c r="I6" s="64">
        <f>COLUMN()</f>
        <v>9</v>
      </c>
      <c r="J6" s="64">
        <f>COLUMN()</f>
        <v>10</v>
      </c>
      <c r="K6" s="64">
        <f>COLUMN()</f>
        <v>11</v>
      </c>
      <c r="L6" s="64">
        <f>COLUMN()</f>
        <v>12</v>
      </c>
      <c r="M6" s="64">
        <f>COLUMN()</f>
        <v>13</v>
      </c>
      <c r="N6" s="64">
        <f>COLUMN()</f>
        <v>14</v>
      </c>
      <c r="O6" s="64">
        <f>COLUMN()</f>
        <v>15</v>
      </c>
      <c r="P6" s="64">
        <f>COLUMN()</f>
        <v>16</v>
      </c>
      <c r="Q6" s="64">
        <f>COLUMN()</f>
        <v>17</v>
      </c>
      <c r="R6" s="64">
        <f>COLUMN()</f>
        <v>18</v>
      </c>
    </row>
    <row r="7" spans="1:31">
      <c r="A7" s="65" t="s">
        <v>33</v>
      </c>
      <c r="B7" s="84"/>
      <c r="C7" s="84"/>
      <c r="D7" s="66"/>
      <c r="E7" s="66"/>
      <c r="F7" s="67"/>
      <c r="G7" s="45">
        <v>0</v>
      </c>
      <c r="H7" s="45"/>
      <c r="I7" s="45"/>
      <c r="J7" s="45"/>
      <c r="K7" s="45"/>
      <c r="L7" s="45"/>
      <c r="M7" s="45"/>
      <c r="N7" s="45"/>
      <c r="O7" s="45"/>
      <c r="P7" s="45"/>
      <c r="Q7" s="45"/>
      <c r="R7" s="45">
        <v>0</v>
      </c>
      <c r="AD7" s="45"/>
      <c r="AE7" s="45"/>
    </row>
    <row r="8" spans="1:31">
      <c r="A8" s="65" t="s">
        <v>34</v>
      </c>
      <c r="B8" s="84">
        <f>IF(Method!M$2&lt;0,Method!C9*EXP(-Method!M$2*Method!G$3),Method!C9)</f>
        <v>2504352.895521299</v>
      </c>
      <c r="C8" s="84">
        <f>IF(Method!M$2&lt;0,Method!D9,Method!D9*EXP(-Method!M$2*Method!G$3))</f>
        <v>2550916</v>
      </c>
      <c r="D8" s="66">
        <f ca="1">Method!E9/Method!P$28</f>
        <v>30163.474883308398</v>
      </c>
      <c r="E8" s="66">
        <f>Method!G$3*('Life expectancies'!B8*'Life expectancies'!C8)^0.5</f>
        <v>13532554.799663603</v>
      </c>
      <c r="F8" s="67">
        <f t="shared" ref="F8:F20" ca="1" si="0">D8/E8</f>
        <v>2.2289564187878415E-3</v>
      </c>
      <c r="G8" s="45">
        <v>5</v>
      </c>
      <c r="H8" s="68">
        <f ca="1">5*F8/(1+2.5*F8)</f>
        <v>1.1083023154937279E-2</v>
      </c>
      <c r="I8" s="45">
        <v>1</v>
      </c>
      <c r="J8" s="45"/>
      <c r="K8" s="69">
        <f>'Model data'!D26</f>
        <v>1</v>
      </c>
      <c r="L8" s="45"/>
      <c r="M8" s="45"/>
      <c r="N8" s="70">
        <v>1</v>
      </c>
      <c r="O8" s="71">
        <f t="shared" ref="O8:O24" ca="1" si="1">O9+2.5*(N9+N8)</f>
        <v>49.819457846054128</v>
      </c>
      <c r="P8" s="72">
        <f t="shared" ref="P8:P24" ca="1" si="2">O8/N8</f>
        <v>49.819457846054128</v>
      </c>
      <c r="Q8" s="67">
        <f t="shared" ref="Q8:Q24" ca="1" si="3">(N8-N9)/(2.5*(N8+N9))</f>
        <v>7.3673276160993798E-3</v>
      </c>
      <c r="R8" s="45">
        <v>5</v>
      </c>
    </row>
    <row r="9" spans="1:31">
      <c r="A9" s="65" t="s">
        <v>35</v>
      </c>
      <c r="B9" s="84">
        <f>IF(Method!M$2&lt;0,Method!C10*EXP(-Method!M$2*Method!G$3),Method!C10)</f>
        <v>2623914.936116871</v>
      </c>
      <c r="C9" s="84">
        <f>IF(Method!M$2&lt;0,Method!D10,Method!D10*EXP(-Method!M$2*Method!G$3))</f>
        <v>2488108.7000000002</v>
      </c>
      <c r="D9" s="66">
        <f ca="1">Method!E10/Method!P$28</f>
        <v>19903.284662522074</v>
      </c>
      <c r="E9" s="66">
        <f>Method!G$3*('Life expectancies'!B9*'Life expectancies'!C9)^0.5</f>
        <v>13680233.274149638</v>
      </c>
      <c r="F9" s="67">
        <f t="shared" ca="1" si="0"/>
        <v>1.4548936603392285E-3</v>
      </c>
      <c r="G9" s="45">
        <v>10</v>
      </c>
      <c r="H9" s="68">
        <f t="shared" ref="H9:H19" ca="1" si="4">5*F9/(1+2.5*F9)</f>
        <v>7.2481052457672957E-3</v>
      </c>
      <c r="I9" s="68">
        <f t="shared" ref="I9:I25" ca="1" si="5">I8*(1-H8)</f>
        <v>0.98891697684506275</v>
      </c>
      <c r="J9" s="52">
        <f t="shared" ref="J9:J25" ca="1" si="6">IF(I9=0,NA(),0.5*LN((1-I9)/I9))</f>
        <v>-2.2455979447551937</v>
      </c>
      <c r="K9" s="69">
        <f>'Model data'!D27</f>
        <v>0.98320410996033836</v>
      </c>
      <c r="L9" s="52">
        <f>0.5*LN((K$8-K9)/K9)</f>
        <v>-2.0348412612235305</v>
      </c>
      <c r="M9" s="52">
        <f t="shared" ref="M9:M27" ca="1" si="7">N$2+N$3*L9</f>
        <v>-1.6413361404431082</v>
      </c>
      <c r="N9" s="73">
        <f ca="1">(1/(1+EXP(2*M9)))</f>
        <v>0.96382956061197766</v>
      </c>
      <c r="O9" s="71">
        <f t="shared" ca="1" si="1"/>
        <v>44.909883944524182</v>
      </c>
      <c r="P9" s="72">
        <f t="shared" ca="1" si="2"/>
        <v>46.595254783437987</v>
      </c>
      <c r="Q9" s="67">
        <f t="shared" ca="1" si="3"/>
        <v>2.9188734546035729E-3</v>
      </c>
      <c r="R9" s="45">
        <v>10</v>
      </c>
    </row>
    <row r="10" spans="1:31">
      <c r="A10" s="65" t="s">
        <v>36</v>
      </c>
      <c r="B10" s="84">
        <f>IF(Method!M$2&lt;0,Method!C11*EXP(-Method!M$2*Method!G$3),Method!C11)</f>
        <v>2609186.6228847294</v>
      </c>
      <c r="C10" s="84">
        <f>IF(Method!M$2&lt;0,Method!D11,Method!D11*EXP(-Method!M$2*Method!G$3))</f>
        <v>2534285</v>
      </c>
      <c r="D10" s="66">
        <f ca="1">Method!E11/Method!P$28</f>
        <v>46784.669166940286</v>
      </c>
      <c r="E10" s="66">
        <f>Method!G$3*('Life expectancies'!B10*'Life expectancies'!C10)^0.5</f>
        <v>13767790.549952686</v>
      </c>
      <c r="F10" s="67">
        <f t="shared" ca="1" si="0"/>
        <v>3.3981247025217905E-3</v>
      </c>
      <c r="G10" s="45">
        <v>15</v>
      </c>
      <c r="H10" s="68">
        <f ca="1">5*F10/(1+2.5*F10)</f>
        <v>1.6847498758342877E-2</v>
      </c>
      <c r="I10" s="68">
        <f t="shared" ca="1" si="5"/>
        <v>0.98174920251756381</v>
      </c>
      <c r="J10" s="52">
        <f t="shared" ca="1" si="6"/>
        <v>-1.9925635522046139</v>
      </c>
      <c r="K10" s="69">
        <f>'Model data'!D28</f>
        <v>0.97638131110322068</v>
      </c>
      <c r="L10" s="52">
        <f t="shared" ref="L10:L27" si="8">0.5*LN((K$8-K10)/K10)</f>
        <v>-1.8609074483360626</v>
      </c>
      <c r="M10" s="52">
        <f t="shared" ca="1" si="7"/>
        <v>-1.4708000424419654</v>
      </c>
      <c r="N10" s="73">
        <f t="shared" ref="N10:N27" ca="1" si="9">(1/(1+EXP(2*M10)))</f>
        <v>0.9498649801240423</v>
      </c>
      <c r="O10" s="71">
        <f t="shared" ca="1" si="1"/>
        <v>40.125647592684132</v>
      </c>
      <c r="P10" s="72">
        <f t="shared" ca="1" si="2"/>
        <v>42.243527693213984</v>
      </c>
      <c r="Q10" s="67">
        <f t="shared" ca="1" si="3"/>
        <v>5.7394245023584985E-3</v>
      </c>
      <c r="R10" s="45">
        <v>15</v>
      </c>
    </row>
    <row r="11" spans="1:31">
      <c r="A11" s="65" t="s">
        <v>37</v>
      </c>
      <c r="B11" s="84">
        <f>IF(Method!M$2&lt;0,Method!C12*EXP(-Method!M$2*Method!G$3),Method!C12)</f>
        <v>2265204.0504575493</v>
      </c>
      <c r="C11" s="84">
        <f>IF(Method!M$2&lt;0,Method!D12,Method!D12*EXP(-Method!M$2*Method!G$3))</f>
        <v>2422487.4</v>
      </c>
      <c r="D11" s="66">
        <f ca="1">Method!E12/Method!P$28</f>
        <v>125917.77824089078</v>
      </c>
      <c r="E11" s="66">
        <f>Method!G$3*('Life expectancies'!B11*'Life expectancies'!C11)^0.5</f>
        <v>12542045.74466688</v>
      </c>
      <c r="F11" s="67">
        <f t="shared" ca="1" si="0"/>
        <v>1.0039652286743847E-2</v>
      </c>
      <c r="G11" s="45">
        <v>20</v>
      </c>
      <c r="H11" s="68">
        <f t="shared" ca="1" si="4"/>
        <v>4.896917764296143E-2</v>
      </c>
      <c r="I11" s="68">
        <f t="shared" ca="1" si="5"/>
        <v>0.96520918404714506</v>
      </c>
      <c r="J11" s="52">
        <f t="shared" ca="1" si="6"/>
        <v>-1.6614957031656785</v>
      </c>
      <c r="K11" s="69">
        <f>'Model data'!D29</f>
        <v>0.9628454159113693</v>
      </c>
      <c r="L11" s="52">
        <f t="shared" si="8"/>
        <v>-1.6274028589318907</v>
      </c>
      <c r="M11" s="52">
        <f t="shared" ca="1" si="7"/>
        <v>-1.2418568549082687</v>
      </c>
      <c r="N11" s="73">
        <f t="shared" ca="1" si="9"/>
        <v>0.92299217451712989</v>
      </c>
      <c r="O11" s="71">
        <f t="shared" ca="1" si="1"/>
        <v>35.4435047060812</v>
      </c>
      <c r="P11" s="72">
        <f t="shared" ca="1" si="2"/>
        <v>38.40065569854233</v>
      </c>
      <c r="Q11" s="67">
        <f t="shared" ca="1" si="3"/>
        <v>1.136094997257376E-2</v>
      </c>
      <c r="R11" s="45">
        <v>20</v>
      </c>
    </row>
    <row r="12" spans="1:31">
      <c r="A12" s="65" t="s">
        <v>38</v>
      </c>
      <c r="B12" s="84">
        <f>IF(Method!M$2&lt;0,Method!C13*EXP(-Method!M$2*Method!G$3),Method!C13)</f>
        <v>2100730.6632357892</v>
      </c>
      <c r="C12" s="84">
        <f>IF(Method!M$2&lt;0,Method!D13,Method!D13*EXP(-Method!M$2*Method!G$3))</f>
        <v>2021156.4</v>
      </c>
      <c r="D12" s="66">
        <f ca="1">Method!E13/Method!P$28</f>
        <v>200325.24451685115</v>
      </c>
      <c r="E12" s="66">
        <f>Method!G$3*('Life expectancies'!B12*'Life expectancies'!C12)^0.5</f>
        <v>11032377.151474318</v>
      </c>
      <c r="F12" s="67">
        <f t="shared" ca="1" si="0"/>
        <v>1.815794019424731E-2</v>
      </c>
      <c r="G12" s="45">
        <v>25</v>
      </c>
      <c r="H12" s="68">
        <f t="shared" ca="1" si="4"/>
        <v>8.6847281607578153E-2</v>
      </c>
      <c r="I12" s="68">
        <f t="shared" ca="1" si="5"/>
        <v>0.91794368405092264</v>
      </c>
      <c r="J12" s="52">
        <f t="shared" ca="1" si="6"/>
        <v>-1.2073651254916449</v>
      </c>
      <c r="K12" s="69">
        <f>'Model data'!D30</f>
        <v>0.9357571294879411</v>
      </c>
      <c r="L12" s="52">
        <f t="shared" si="8"/>
        <v>-1.3393426064696889</v>
      </c>
      <c r="M12" s="52">
        <f t="shared" ca="1" si="7"/>
        <v>-0.95942372342790039</v>
      </c>
      <c r="N12" s="73">
        <f t="shared" ca="1" si="9"/>
        <v>0.87200985390324903</v>
      </c>
      <c r="O12" s="71">
        <f t="shared" ca="1" si="1"/>
        <v>30.955999635030256</v>
      </c>
      <c r="P12" s="72">
        <f t="shared" ca="1" si="2"/>
        <v>35.499598423649097</v>
      </c>
      <c r="Q12" s="67">
        <f t="shared" ca="1" si="3"/>
        <v>1.9414407371151337E-2</v>
      </c>
      <c r="R12" s="45">
        <v>25</v>
      </c>
    </row>
    <row r="13" spans="1:31">
      <c r="A13" s="65" t="s">
        <v>39</v>
      </c>
      <c r="B13" s="84">
        <f>IF(Method!M$2&lt;0,Method!C14*EXP(-Method!M$2*Method!G$3),Method!C14)</f>
        <v>1802123.7600461505</v>
      </c>
      <c r="C13" s="84">
        <f>IF(Method!M$2&lt;0,Method!D14,Method!D14*EXP(-Method!M$2*Method!G$3))</f>
        <v>1850429.3</v>
      </c>
      <c r="D13" s="66">
        <f ca="1">Method!E14/Method!P$28</f>
        <v>218387.3535885101</v>
      </c>
      <c r="E13" s="66">
        <f>Method!G$3*('Life expectancies'!B13*'Life expectancies'!C13)^0.5</f>
        <v>9777155.1486811992</v>
      </c>
      <c r="F13" s="67">
        <f t="shared" ca="1" si="0"/>
        <v>2.2336492596005033E-2</v>
      </c>
      <c r="G13" s="45">
        <v>30</v>
      </c>
      <c r="H13" s="68">
        <f t="shared" ca="1" si="4"/>
        <v>0.10577581140908647</v>
      </c>
      <c r="I13" s="68">
        <f t="shared" ca="1" si="5"/>
        <v>0.83822277042225446</v>
      </c>
      <c r="J13" s="52">
        <f t="shared" ca="1" si="6"/>
        <v>-0.82253181908225492</v>
      </c>
      <c r="K13" s="69">
        <f>'Model data'!D31</f>
        <v>0.88902488270950042</v>
      </c>
      <c r="L13" s="52">
        <f t="shared" si="8"/>
        <v>-1.0404096085214742</v>
      </c>
      <c r="M13" s="52">
        <f t="shared" ca="1" si="7"/>
        <v>-0.66633024040942246</v>
      </c>
      <c r="N13" s="73">
        <f t="shared" ca="1" si="9"/>
        <v>0.7912803689938076</v>
      </c>
      <c r="O13" s="71">
        <f t="shared" ca="1" si="1"/>
        <v>26.797774077787615</v>
      </c>
      <c r="P13" s="72">
        <f t="shared" ca="1" si="2"/>
        <v>33.866345138656321</v>
      </c>
      <c r="Q13" s="67">
        <f t="shared" ca="1" si="3"/>
        <v>2.2319425692027595E-2</v>
      </c>
      <c r="R13" s="45">
        <v>30</v>
      </c>
    </row>
    <row r="14" spans="1:31">
      <c r="A14" s="65" t="s">
        <v>40</v>
      </c>
      <c r="B14" s="84">
        <f>IF(Method!M$2&lt;0,Method!C15*EXP(-Method!M$2*Method!G$3),Method!C15)</f>
        <v>1682259.3938391856</v>
      </c>
      <c r="C14" s="84">
        <f>IF(Method!M$2&lt;0,Method!D15,Method!D15*EXP(-Method!M$2*Method!G$3))</f>
        <v>1664349.2</v>
      </c>
      <c r="D14" s="66">
        <f ca="1">Method!E15/Method!P$28</f>
        <v>180806.09453566212</v>
      </c>
      <c r="E14" s="66">
        <f>Method!G$3*('Life expectancies'!B14*'Life expectancies'!C14)^0.5</f>
        <v>8958858.1265712753</v>
      </c>
      <c r="F14" s="67">
        <f t="shared" ca="1" si="0"/>
        <v>2.0181823618727182E-2</v>
      </c>
      <c r="G14" s="45">
        <v>35</v>
      </c>
      <c r="H14" s="68">
        <f t="shared" ca="1" si="4"/>
        <v>9.6062335323862852E-2</v>
      </c>
      <c r="I14" s="68">
        <f t="shared" ca="1" si="5"/>
        <v>0.74955907673926814</v>
      </c>
      <c r="J14" s="52">
        <f t="shared" ca="1" si="6"/>
        <v>-0.54813103927243634</v>
      </c>
      <c r="K14" s="69">
        <f>'Model data'!D32</f>
        <v>0.83523339186716261</v>
      </c>
      <c r="L14" s="52">
        <f t="shared" si="8"/>
        <v>-0.81159061031057433</v>
      </c>
      <c r="M14" s="52">
        <f t="shared" ca="1" si="7"/>
        <v>-0.44198111325802825</v>
      </c>
      <c r="N14" s="73">
        <f t="shared" ca="1" si="9"/>
        <v>0.70764261840548148</v>
      </c>
      <c r="O14" s="71">
        <f t="shared" ca="1" si="1"/>
        <v>23.050466609289394</v>
      </c>
      <c r="P14" s="72">
        <f t="shared" ca="1" si="2"/>
        <v>32.573598607201752</v>
      </c>
      <c r="Q14" s="67">
        <f t="shared" ca="1" si="3"/>
        <v>1.9544675152684092E-2</v>
      </c>
      <c r="R14" s="45">
        <v>35</v>
      </c>
    </row>
    <row r="15" spans="1:31">
      <c r="A15" s="65" t="s">
        <v>41</v>
      </c>
      <c r="B15" s="84">
        <f>IF(Method!M$2&lt;0,Method!C16*EXP(-Method!M$2*Method!G$3),Method!C16)</f>
        <v>1430096.1018932022</v>
      </c>
      <c r="C15" s="84">
        <f>IF(Method!M$2&lt;0,Method!D16,Method!D16*EXP(-Method!M$2*Method!G$3))</f>
        <v>1520926.4</v>
      </c>
      <c r="D15" s="66">
        <f ca="1">Method!E16/Method!P$28</f>
        <v>146795.61311979176</v>
      </c>
      <c r="E15" s="66">
        <f>Method!G$3*('Life expectancies'!B15*'Life expectancies'!C15)^0.5</f>
        <v>7896245.8723024903</v>
      </c>
      <c r="F15" s="67">
        <f t="shared" ca="1" si="0"/>
        <v>1.8590557524899763E-2</v>
      </c>
      <c r="G15" s="45">
        <v>40</v>
      </c>
      <c r="H15" s="68">
        <f t="shared" ca="1" si="4"/>
        <v>8.8824543175673093E-2</v>
      </c>
      <c r="I15" s="68">
        <f t="shared" ca="1" si="5"/>
        <v>0.67755468136449548</v>
      </c>
      <c r="J15" s="52">
        <f t="shared" ca="1" si="6"/>
        <v>-0.37127834637840595</v>
      </c>
      <c r="K15" s="69">
        <f>'Model data'!D33</f>
        <v>0.78851818916567196</v>
      </c>
      <c r="L15" s="52">
        <f t="shared" si="8"/>
        <v>-0.65800824009637715</v>
      </c>
      <c r="M15" s="52">
        <f t="shared" ca="1" si="7"/>
        <v>-0.29139890210946062</v>
      </c>
      <c r="N15" s="73">
        <f t="shared" ca="1" si="9"/>
        <v>0.64171092664513885</v>
      </c>
      <c r="O15" s="71">
        <f t="shared" ca="1" si="1"/>
        <v>19.677082746662844</v>
      </c>
      <c r="P15" s="72">
        <f t="shared" ca="1" si="2"/>
        <v>30.663468439807506</v>
      </c>
      <c r="Q15" s="67">
        <f t="shared" ca="1" si="3"/>
        <v>1.5423769459477337E-2</v>
      </c>
      <c r="R15" s="45">
        <v>40</v>
      </c>
    </row>
    <row r="16" spans="1:31">
      <c r="A16" s="65" t="s">
        <v>42</v>
      </c>
      <c r="B16" s="84">
        <f>IF(Method!M$2&lt;0,Method!C17*EXP(-Method!M$2*Method!G$3),Method!C17)</f>
        <v>1155564.8420162692</v>
      </c>
      <c r="C16" s="84">
        <f>IF(Method!M$2&lt;0,Method!D17,Method!D17*EXP(-Method!M$2*Method!G$3))</f>
        <v>1294503.5</v>
      </c>
      <c r="D16" s="66">
        <f ca="1">Method!E17/Method!P$28</f>
        <v>111869.69664606746</v>
      </c>
      <c r="E16" s="66">
        <f>Method!G$3*('Life expectancies'!B16*'Life expectancies'!C16)^0.5</f>
        <v>6548362.7104063388</v>
      </c>
      <c r="F16" s="67">
        <f t="shared" ca="1" si="0"/>
        <v>1.7083613353959394E-2</v>
      </c>
      <c r="G16" s="45">
        <v>45</v>
      </c>
      <c r="H16" s="68">
        <f t="shared" ca="1" si="4"/>
        <v>8.1919369675457987E-2</v>
      </c>
      <c r="I16" s="68">
        <f t="shared" ca="1" si="5"/>
        <v>0.61737119631575543</v>
      </c>
      <c r="J16" s="52">
        <f t="shared" ca="1" si="6"/>
        <v>-0.23920255977104521</v>
      </c>
      <c r="K16" s="69">
        <f>'Model data'!D34</f>
        <v>0.75212349180925553</v>
      </c>
      <c r="L16" s="52">
        <f t="shared" si="8"/>
        <v>-0.55498492849825398</v>
      </c>
      <c r="M16" s="52">
        <f t="shared" ca="1" si="7"/>
        <v>-0.19038810224579783</v>
      </c>
      <c r="N16" s="73">
        <f t="shared" ca="1" si="9"/>
        <v>0.59406030036980406</v>
      </c>
      <c r="O16" s="71">
        <f t="shared" ca="1" si="1"/>
        <v>16.587654679125485</v>
      </c>
      <c r="P16" s="72">
        <f t="shared" ca="1" si="2"/>
        <v>27.922510002435153</v>
      </c>
      <c r="Q16" s="67">
        <f t="shared" ca="1" si="3"/>
        <v>1.2598348748001302E-2</v>
      </c>
      <c r="R16" s="45">
        <v>45</v>
      </c>
    </row>
    <row r="17" spans="1:18">
      <c r="A17" s="65" t="s">
        <v>43</v>
      </c>
      <c r="B17" s="84">
        <f>IF(Method!M$2&lt;0,Method!C18*EXP(-Method!M$2*Method!G$3),Method!C18)</f>
        <v>896282.96852421958</v>
      </c>
      <c r="C17" s="84">
        <f>IF(Method!M$2&lt;0,Method!D18,Method!D18*EXP(-Method!M$2*Method!G$3))</f>
        <v>1074540.7</v>
      </c>
      <c r="D17" s="66">
        <f ca="1">Method!E18/Method!P$28</f>
        <v>100925.67605941056</v>
      </c>
      <c r="E17" s="66">
        <f>Method!G$3*('Life expectancies'!B17*'Life expectancies'!C17)^0.5</f>
        <v>5254337.4256393993</v>
      </c>
      <c r="F17" s="67">
        <f t="shared" ca="1" si="0"/>
        <v>1.9208069045380909E-2</v>
      </c>
      <c r="G17" s="45">
        <v>50</v>
      </c>
      <c r="H17" s="68">
        <f t="shared" ca="1" si="4"/>
        <v>9.1639786844377555E-2</v>
      </c>
      <c r="I17" s="68">
        <f t="shared" ca="1" si="5"/>
        <v>0.56679653705778532</v>
      </c>
      <c r="J17" s="52">
        <f t="shared" ca="1" si="6"/>
        <v>-0.13439644460064015</v>
      </c>
      <c r="K17" s="69">
        <f>'Model data'!D35</f>
        <v>0.72280096172609243</v>
      </c>
      <c r="L17" s="52">
        <f t="shared" si="8"/>
        <v>-0.47919904569705241</v>
      </c>
      <c r="M17" s="52">
        <f t="shared" ca="1" si="7"/>
        <v>-0.11608266087166663</v>
      </c>
      <c r="N17" s="73">
        <f t="shared" ca="1" si="9"/>
        <v>0.55778202216480699</v>
      </c>
      <c r="O17" s="71">
        <f t="shared" ca="1" si="1"/>
        <v>13.708048872788957</v>
      </c>
      <c r="P17" s="72">
        <f t="shared" ca="1" si="2"/>
        <v>24.575996228036662</v>
      </c>
      <c r="Q17" s="67">
        <f t="shared" ca="1" si="3"/>
        <v>1.3273920794419086E-2</v>
      </c>
      <c r="R17" s="45">
        <v>50</v>
      </c>
    </row>
    <row r="18" spans="1:18">
      <c r="A18" s="65" t="s">
        <v>44</v>
      </c>
      <c r="B18" s="84">
        <f>IF(Method!M$2&lt;0,Method!C19*EXP(-Method!M$2*Method!G$3),Method!C19)</f>
        <v>673814.65531634784</v>
      </c>
      <c r="C18" s="84">
        <f>IF(Method!M$2&lt;0,Method!D19,Method!D19*EXP(-Method!M$2*Method!G$3))</f>
        <v>849485.89391343389</v>
      </c>
      <c r="D18" s="66">
        <f ca="1">Method!E19/Method!P$28</f>
        <v>75231.228778497476</v>
      </c>
      <c r="E18" s="66">
        <f>Method!G$3*('Life expectancies'!B18*'Life expectancies'!C18)^0.5</f>
        <v>4050720.3738660626</v>
      </c>
      <c r="F18" s="67">
        <f t="shared" ca="1" si="0"/>
        <v>1.8572308585866608E-2</v>
      </c>
      <c r="G18" s="45">
        <v>55</v>
      </c>
      <c r="H18" s="68">
        <f t="shared" ca="1" si="4"/>
        <v>8.8741219640699934E-2</v>
      </c>
      <c r="I18" s="68">
        <f t="shared" ca="1" si="5"/>
        <v>0.51485542321767852</v>
      </c>
      <c r="J18" s="52">
        <f t="shared" ca="1" si="6"/>
        <v>-2.9719593330562444E-2</v>
      </c>
      <c r="K18" s="69">
        <f>'Model data'!D36</f>
        <v>0.69236927413076821</v>
      </c>
      <c r="L18" s="52">
        <f t="shared" si="8"/>
        <v>-0.40560966236923085</v>
      </c>
      <c r="M18" s="52">
        <f t="shared" ca="1" si="7"/>
        <v>-4.3930811391103386E-2</v>
      </c>
      <c r="N18" s="73">
        <f t="shared" ca="1" si="9"/>
        <v>0.52195128613126174</v>
      </c>
      <c r="O18" s="71">
        <f t="shared" ca="1" si="1"/>
        <v>11.008715602048786</v>
      </c>
      <c r="P18" s="72">
        <f t="shared" ca="1" si="2"/>
        <v>21.091461779213404</v>
      </c>
      <c r="Q18" s="67">
        <f t="shared" ca="1" si="3"/>
        <v>1.6153628483204664E-2</v>
      </c>
      <c r="R18" s="45">
        <v>55</v>
      </c>
    </row>
    <row r="19" spans="1:18">
      <c r="A19" s="65" t="s">
        <v>45</v>
      </c>
      <c r="B19" s="84">
        <f>IF(Method!M$2&lt;0,Method!C20*EXP(-Method!M$2*Method!G$3),Method!C20)</f>
        <v>640621.77957270422</v>
      </c>
      <c r="C19" s="84">
        <f>IF(Method!M$2&lt;0,Method!D20,Method!D20*EXP(-Method!M$2*Method!G$3))</f>
        <v>647158.57880766876</v>
      </c>
      <c r="D19" s="66">
        <f ca="1">Method!E20/Method!P$28</f>
        <v>90797.85884945601</v>
      </c>
      <c r="E19" s="66">
        <f>Method!G$3*('Life expectancies'!B19*'Life expectancies'!C19)^0.5</f>
        <v>3447387.9425840382</v>
      </c>
      <c r="F19" s="67">
        <f t="shared" ca="1" si="0"/>
        <v>2.6338161054597527E-2</v>
      </c>
      <c r="G19" s="45">
        <v>60</v>
      </c>
      <c r="H19" s="68">
        <f t="shared" ca="1" si="4"/>
        <v>0.12355525946561757</v>
      </c>
      <c r="I19" s="68">
        <f t="shared" ca="1" si="5"/>
        <v>0.469166525022713</v>
      </c>
      <c r="J19" s="52">
        <f t="shared" ca="1" si="6"/>
        <v>6.1745298085542015E-2</v>
      </c>
      <c r="K19" s="69">
        <f>'Model data'!D37</f>
        <v>0.65606676019460419</v>
      </c>
      <c r="L19" s="52">
        <f t="shared" si="8"/>
        <v>-0.32290749207459518</v>
      </c>
      <c r="M19" s="52">
        <f t="shared" ca="1" si="7"/>
        <v>3.7155811066819977E-2</v>
      </c>
      <c r="N19" s="73">
        <f t="shared" ca="1" si="9"/>
        <v>0.4814306390172331</v>
      </c>
      <c r="O19" s="71">
        <f t="shared" ca="1" si="1"/>
        <v>8.500260789177549</v>
      </c>
      <c r="P19" s="72">
        <f t="shared" ca="1" si="2"/>
        <v>17.656252220526575</v>
      </c>
      <c r="Q19" s="67">
        <f t="shared" ca="1" si="3"/>
        <v>2.3194710996720637E-2</v>
      </c>
      <c r="R19" s="45">
        <v>60</v>
      </c>
    </row>
    <row r="20" spans="1:18">
      <c r="A20" s="119" t="str">
        <f>IF(D20=0,"", IF(D21=0, "65+", "65-69"))</f>
        <v>65-69</v>
      </c>
      <c r="B20" s="84">
        <f>IF(Method!M$2&lt;0,Method!C21*EXP(-Method!M$2*Method!G$3),Method!C21)</f>
        <v>498644.30695702223</v>
      </c>
      <c r="C20" s="84">
        <f>IF(Method!M$2&lt;0,Method!D21,Method!D21*EXP(-Method!M$2*Method!G$3))</f>
        <v>553050.20290078165</v>
      </c>
      <c r="D20" s="66">
        <f>IF(E$3="是",IF(Method!B21&lt;Method!J$3,Method!E21/Method!K21,Method!E21/VLOOKUP(Method!J$3,Method!B$9:'Method'!K$25,10)),Method!E21/Method!P$28)</f>
        <v>95295.326744029691</v>
      </c>
      <c r="E20" s="66">
        <f>Method!G$3*('Life expectancies'!B20*'Life expectancies'!C20)^0.5</f>
        <v>2811652.6216199249</v>
      </c>
      <c r="F20" s="67">
        <f t="shared" si="0"/>
        <v>3.3892994465698108E-2</v>
      </c>
      <c r="G20" s="45">
        <v>65</v>
      </c>
      <c r="H20" s="68">
        <f t="shared" ref="H20:H22" si="10">IF(D21=0,NA(),5*F20/(1+2.5*F20))</f>
        <v>0.15622743348246224</v>
      </c>
      <c r="I20" s="68">
        <f t="shared" ca="1" si="5"/>
        <v>0.41119853329094957</v>
      </c>
      <c r="J20" s="52">
        <f t="shared" ca="1" si="6"/>
        <v>0.17950645559521194</v>
      </c>
      <c r="K20" s="69">
        <f>'Model data'!D38</f>
        <v>0.60552786775024225</v>
      </c>
      <c r="L20" s="52">
        <f t="shared" si="8"/>
        <v>-0.2142760445943791</v>
      </c>
      <c r="M20" s="52">
        <f t="shared" ca="1" si="7"/>
        <v>0.1436651945268253</v>
      </c>
      <c r="N20" s="73">
        <f t="shared" ca="1" si="9"/>
        <v>0.42865755728059585</v>
      </c>
      <c r="O20" s="71">
        <f t="shared" ca="1" si="1"/>
        <v>6.225040298432976</v>
      </c>
      <c r="P20" s="72">
        <f t="shared" ca="1" si="2"/>
        <v>14.522175551796265</v>
      </c>
      <c r="Q20" s="67">
        <f t="shared" ca="1" si="3"/>
        <v>3.5684318341865189E-2</v>
      </c>
      <c r="R20" s="45">
        <v>65</v>
      </c>
    </row>
    <row r="21" spans="1:18">
      <c r="A21" s="119" t="str">
        <f>IF(D21=0,"", IF(D22=0,"70+", "70-74"))</f>
        <v>70-74</v>
      </c>
      <c r="B21" s="84">
        <f>IF(Method!M$2&lt;0,Method!C22*EXP(-Method!M$2*Method!G$3),Method!C22)</f>
        <v>411732.40056382236</v>
      </c>
      <c r="C21" s="84">
        <f>IF(Method!M$2&lt;0,Method!D22,Method!D22*EXP(-Method!M$2*Method!G$3))</f>
        <v>413776.35931542347</v>
      </c>
      <c r="D21" s="66">
        <f>IF(E$3="是",IF(Method!B22&lt;Method!J$3,Method!E22/Method!K22,Method!E22/VLOOKUP(Method!J$3,Method!B$9:'Method'!K$25,10)),Method!E22/Method!P$28)</f>
        <v>99454.678852495272</v>
      </c>
      <c r="E21" s="66">
        <f>Method!G$3*('Life expectancies'!B21*'Life expectancies'!C21)^0.5</f>
        <v>2209908.597437364</v>
      </c>
      <c r="F21" s="67">
        <f t="shared" ref="F21:F23" si="11">IF(E21&gt;0,D21/E21,NA())</f>
        <v>4.5003978430521556E-2</v>
      </c>
      <c r="G21" s="45">
        <v>70</v>
      </c>
      <c r="H21" s="68">
        <f t="shared" si="10"/>
        <v>0.20226326330495054</v>
      </c>
      <c r="I21" s="68">
        <f t="shared" ca="1" si="5"/>
        <v>0.3469580417831517</v>
      </c>
      <c r="J21" s="52">
        <f t="shared" ca="1" si="6"/>
        <v>0.3162187630856208</v>
      </c>
      <c r="K21" s="69">
        <f>'Model data'!D39</f>
        <v>0.53192330203651572</v>
      </c>
      <c r="L21" s="52">
        <f t="shared" si="8"/>
        <v>-6.3933571408291895E-2</v>
      </c>
      <c r="M21" s="52">
        <f t="shared" ca="1" si="7"/>
        <v>0.29107079850553313</v>
      </c>
      <c r="N21" s="73">
        <f t="shared" ca="1" si="9"/>
        <v>0.35843996123829525</v>
      </c>
      <c r="O21" s="71">
        <f t="shared" ca="1" si="1"/>
        <v>4.2572965021357483</v>
      </c>
      <c r="P21" s="72">
        <f t="shared" ca="1" si="2"/>
        <v>11.877293166275749</v>
      </c>
      <c r="Q21" s="67">
        <f t="shared" ca="1" si="3"/>
        <v>5.0032440831366175E-2</v>
      </c>
      <c r="R21" s="45">
        <v>70</v>
      </c>
    </row>
    <row r="22" spans="1:18">
      <c r="A22" s="119" t="str">
        <f>IF(D22=0,"", IF(D23=0,"75+", "75-79"))</f>
        <v>75-79</v>
      </c>
      <c r="B22" s="84">
        <f>IF(Method!M$2&lt;0,Method!C23*EXP(-Method!M$2*Method!G$3),Method!C23)</f>
        <v>238512.20717218259</v>
      </c>
      <c r="C22" s="84">
        <f>IF(Method!M$2&lt;0,Method!D23,Method!D23*EXP(-Method!M$2*Method!G$3))</f>
        <v>304906.3815560232</v>
      </c>
      <c r="D22" s="66">
        <f>IF(E$3="是",IF(Method!B23&lt;Method!J$3,Method!E23/Method!K23,Method!E23/VLOOKUP(Method!J$3,Method!B$9:'Method'!K$25,10)),Method!E23/Method!P$28)</f>
        <v>81824.659266264687</v>
      </c>
      <c r="E22" s="66">
        <f>Method!G$3*('Life expectancies'!B22*'Life expectancies'!C22)^0.5</f>
        <v>1443851.4553839909</v>
      </c>
      <c r="F22" s="67">
        <f t="shared" si="11"/>
        <v>5.667110627007229E-2</v>
      </c>
      <c r="G22" s="45">
        <v>75</v>
      </c>
      <c r="H22" s="68">
        <f t="shared" si="10"/>
        <v>0.24819221313536477</v>
      </c>
      <c r="I22" s="68">
        <f t="shared" ca="1" si="5"/>
        <v>0.27678117602219604</v>
      </c>
      <c r="J22" s="52">
        <f t="shared" ca="1" si="6"/>
        <v>0.48024231086936625</v>
      </c>
      <c r="K22" s="69">
        <f>'Model data'!D40</f>
        <v>0.43830317496687676</v>
      </c>
      <c r="L22" s="52">
        <f t="shared" si="8"/>
        <v>0.1240256979390101</v>
      </c>
      <c r="M22" s="52">
        <f t="shared" ca="1" si="7"/>
        <v>0.47535837229874933</v>
      </c>
      <c r="N22" s="73">
        <f t="shared" ca="1" si="9"/>
        <v>0.27874070169548293</v>
      </c>
      <c r="O22" s="71">
        <f t="shared" ca="1" si="1"/>
        <v>2.6643448448013025</v>
      </c>
      <c r="P22" s="72">
        <f t="shared" ca="1" si="2"/>
        <v>9.5585066285440838</v>
      </c>
      <c r="Q22" s="67">
        <f t="shared" ca="1" si="3"/>
        <v>6.9731044020419033E-2</v>
      </c>
      <c r="R22" s="45">
        <v>75</v>
      </c>
    </row>
    <row r="23" spans="1:18">
      <c r="A23" s="119" t="str">
        <f>IF(D23=0,"", IF(D24=0,"80+", "80-84"))</f>
        <v>80-84</v>
      </c>
      <c r="B23" s="84">
        <f>IF(Method!M$2&lt;0,Method!C24*EXP(-Method!M$2*Method!G$3),Method!C24)</f>
        <v>185884.85057332035</v>
      </c>
      <c r="C23" s="84">
        <f>IF(Method!M$2&lt;0,Method!D24,Method!D24*EXP(-Method!M$2*Method!G$3))</f>
        <v>169637.17457712468</v>
      </c>
      <c r="D23" s="66">
        <f>IF(E$3="是",IF(Method!B24&lt;Method!J$3,Method!E24/Method!K24,Method!E24/VLOOKUP(Method!J$3,Method!B$9:'Method'!K$25,10)),Method!E24/Method!P$28)</f>
        <v>79632.748600492123</v>
      </c>
      <c r="E23" s="66">
        <f>Method!G$3*('Life expectancies'!B23*'Life expectancies'!C23)^0.5</f>
        <v>950750.28829782992</v>
      </c>
      <c r="F23" s="67">
        <f t="shared" si="11"/>
        <v>8.3757795901447621E-2</v>
      </c>
      <c r="G23" s="45">
        <v>80</v>
      </c>
      <c r="H23" s="68">
        <f>IF(D24=0,NA(),5*F23/(1+2.5*F23))</f>
        <v>0.34627988059756654</v>
      </c>
      <c r="I23" s="68">
        <f t="shared" ca="1" si="5"/>
        <v>0.20808624339103826</v>
      </c>
      <c r="J23" s="52">
        <f t="shared" ca="1" si="6"/>
        <v>0.66824993363079699</v>
      </c>
      <c r="K23" s="69">
        <f>'Model data'!D41</f>
        <v>0.32780972585300416</v>
      </c>
      <c r="L23" s="52">
        <f t="shared" si="8"/>
        <v>0.35905405527249362</v>
      </c>
      <c r="M23" s="52">
        <f t="shared" ca="1" si="7"/>
        <v>0.70579556167492974</v>
      </c>
      <c r="N23" s="73">
        <f t="shared" ca="1" si="9"/>
        <v>0.19598321573564376</v>
      </c>
      <c r="O23" s="71">
        <f ca="1">O24+2.5*(N24+N23)</f>
        <v>1.4775350512234855</v>
      </c>
      <c r="P23" s="72">
        <f t="shared" ca="1" si="2"/>
        <v>7.5390897413199456</v>
      </c>
      <c r="Q23" s="67">
        <f t="shared" ca="1" si="3"/>
        <v>9.9267088700506989E-2</v>
      </c>
      <c r="R23" s="45">
        <v>80</v>
      </c>
    </row>
    <row r="24" spans="1:18">
      <c r="A24" s="119" t="str">
        <f>IF(D24=0,"", "85+")</f>
        <v>85+</v>
      </c>
      <c r="B24" s="84">
        <f>IF(Method!M$2&lt;0,Method!C25*EXP(-Method!M$2*Method!G$3),Method!C25)</f>
        <v>114992.07427182578</v>
      </c>
      <c r="C24" s="84">
        <f>IF(Method!M$2&lt;0,Method!D25,Method!D25*EXP(-Method!M$2*Method!G$3))</f>
        <v>156424.88882916409</v>
      </c>
      <c r="D24" s="66">
        <f>IF(E$3="是",Method!E25/VLOOKUP(Method!J$3,Method!B$9:'Method'!K$25,10),Method!E25/Method!P$28)</f>
        <v>114184.88552301185</v>
      </c>
      <c r="E24" s="66">
        <f>Method!G$3*('Life expectancies'!B24*'Life expectancies'!C24)^0.5</f>
        <v>718076.69786136388</v>
      </c>
      <c r="F24" s="67">
        <f>IF(E24&gt;0,D24/E24,NA())</f>
        <v>0.15901488777325157</v>
      </c>
      <c r="G24" s="45">
        <v>85</v>
      </c>
      <c r="H24" s="68" t="e">
        <f>NA()</f>
        <v>#N/A</v>
      </c>
      <c r="I24" s="68">
        <f t="shared" ca="1" si="5"/>
        <v>0.13603016387559336</v>
      </c>
      <c r="J24" s="52">
        <f t="shared" ca="1" si="6"/>
        <v>0.9243306009775526</v>
      </c>
      <c r="K24" s="69">
        <f>'Model data'!D42</f>
        <v>0.20924461949419443</v>
      </c>
      <c r="L24" s="52">
        <f t="shared" si="8"/>
        <v>0.66474233536003369</v>
      </c>
      <c r="M24" s="52">
        <f t="shared" ca="1" si="7"/>
        <v>1.0055123655866414</v>
      </c>
      <c r="N24" s="73">
        <f t="shared" ca="1" si="9"/>
        <v>0.11805024678759064</v>
      </c>
      <c r="O24" s="71">
        <f t="shared" ca="1" si="1"/>
        <v>0.69245139491539942</v>
      </c>
      <c r="P24" s="72">
        <f t="shared" ca="1" si="2"/>
        <v>5.8657344119011992</v>
      </c>
      <c r="Q24" s="67">
        <f t="shared" ca="1" si="3"/>
        <v>0.14069116417936858</v>
      </c>
      <c r="R24" s="45">
        <v>85</v>
      </c>
    </row>
    <row r="25" spans="1:18">
      <c r="A25" s="65"/>
      <c r="B25" s="65"/>
      <c r="C25" s="66"/>
      <c r="D25" s="66"/>
      <c r="E25" s="45"/>
      <c r="F25" s="45"/>
      <c r="G25" s="45"/>
      <c r="H25" s="68"/>
      <c r="I25" s="68" t="e">
        <f t="shared" ca="1" si="5"/>
        <v>#N/A</v>
      </c>
      <c r="J25" s="52" t="e">
        <f t="shared" ca="1" si="6"/>
        <v>#N/A</v>
      </c>
      <c r="K25" s="69">
        <f>K24*EXP((LN(K24/K23))^2/LN(K23/K22))</f>
        <v>0.10455250196644024</v>
      </c>
      <c r="L25" s="52">
        <f t="shared" si="8"/>
        <v>1.0738171173598614</v>
      </c>
      <c r="M25" s="52">
        <f t="shared" ca="1" si="7"/>
        <v>1.4065960649249267</v>
      </c>
      <c r="N25" s="73">
        <f t="shared" ca="1" si="9"/>
        <v>5.6615447210587908E-2</v>
      </c>
      <c r="O25" s="71">
        <f ca="1">O26+2.5*(N26+N25)</f>
        <v>0.2557871599199531</v>
      </c>
      <c r="P25" s="72">
        <f ca="1">O25/N25</f>
        <v>4.5179747316756549</v>
      </c>
      <c r="Q25" s="67">
        <f ca="1">1/P25</f>
        <v>0.221338112625768</v>
      </c>
      <c r="R25" s="45">
        <v>90</v>
      </c>
    </row>
    <row r="26" spans="1:18">
      <c r="A26" s="65" t="s">
        <v>85</v>
      </c>
      <c r="B26" s="65"/>
      <c r="C26" s="66">
        <f>SUM(C7:C24)</f>
        <v>22516142.07989962</v>
      </c>
      <c r="D26" s="66">
        <f ca="1">SUM(D7:D24)</f>
        <v>1818300.2720342018</v>
      </c>
      <c r="E26" s="45"/>
      <c r="F26" s="45"/>
      <c r="G26" s="45"/>
      <c r="H26" s="45"/>
      <c r="I26" s="45"/>
      <c r="J26" s="45"/>
      <c r="K26" s="69">
        <f t="shared" ref="K26:K27" si="12">K25*EXP((LN(K25/K24))^2/LN(K24/K23))</f>
        <v>3.5780661735074382E-2</v>
      </c>
      <c r="L26" s="52">
        <f t="shared" si="8"/>
        <v>1.64695561279424</v>
      </c>
      <c r="M26" s="52">
        <f t="shared" ca="1" si="7"/>
        <v>1.9685385705426315</v>
      </c>
      <c r="N26" s="73">
        <f t="shared" ca="1" si="9"/>
        <v>1.9131970481787029E-2</v>
      </c>
      <c r="O26" s="71">
        <f ca="1">O27+2.5*(N27+N26)</f>
        <v>6.6418615689015775E-2</v>
      </c>
      <c r="P26" s="45"/>
      <c r="Q26" s="45"/>
      <c r="R26" s="45"/>
    </row>
    <row r="27" spans="1:18">
      <c r="A27" s="45"/>
      <c r="B27" s="45"/>
      <c r="C27" s="45"/>
      <c r="D27" s="45"/>
      <c r="E27" s="45"/>
      <c r="F27" s="45"/>
      <c r="G27" s="45"/>
      <c r="H27" s="45"/>
      <c r="I27" s="45"/>
      <c r="J27" s="45"/>
      <c r="K27" s="69">
        <f t="shared" si="12"/>
        <v>6.822388188045956E-3</v>
      </c>
      <c r="L27" s="52">
        <f t="shared" si="8"/>
        <v>2.4903499635754627</v>
      </c>
      <c r="M27" s="52">
        <f t="shared" ca="1" si="7"/>
        <v>2.7954576110140308</v>
      </c>
      <c r="N27" s="73">
        <f t="shared" ca="1" si="9"/>
        <v>3.7177378969096416E-3</v>
      </c>
      <c r="O27" s="71">
        <f ca="1">O28+2.5*(N28+N27)</f>
        <v>9.2943447422741046E-3</v>
      </c>
      <c r="P27" s="45"/>
      <c r="Q27" s="45"/>
      <c r="R27" s="45"/>
    </row>
    <row r="28" spans="1:18">
      <c r="A28" s="45"/>
      <c r="B28" s="45"/>
      <c r="C28" s="45"/>
      <c r="E28" s="74"/>
      <c r="F28" s="45"/>
      <c r="G28" s="45"/>
      <c r="H28" s="45"/>
      <c r="I28" s="45"/>
      <c r="J28" s="45"/>
      <c r="K28" s="45"/>
      <c r="L28" s="45"/>
      <c r="M28" s="45"/>
      <c r="N28" s="45"/>
      <c r="O28" s="45"/>
      <c r="P28" s="45"/>
      <c r="Q28" s="45"/>
      <c r="R28" s="45"/>
    </row>
    <row r="29" spans="1:18" ht="15.6">
      <c r="A29" s="45" t="s">
        <v>52</v>
      </c>
      <c r="B29" s="68">
        <f>SUM(Method!E10:'Method'!E15)/SUM(Method!E16:'Method'!E19)</f>
        <v>1.8217202298028903</v>
      </c>
      <c r="C29" s="49">
        <f>HLOOKUP(B$29,B$38:AA$44,1)</f>
        <v>1.5609999999999999</v>
      </c>
      <c r="D29" s="49">
        <f>HLOOKUP(HLOOKUP(B$29,B$38:AA$44,7)+1,B$37:AA$44,2)</f>
        <v>1.5609999999999999</v>
      </c>
      <c r="E29" s="49" t="e">
        <f>(B29-C29)/(D29-C29)</f>
        <v>#DIV/0!</v>
      </c>
    </row>
    <row r="30" spans="1:18">
      <c r="A30" s="75" t="s">
        <v>24</v>
      </c>
      <c r="B30" s="76" t="s">
        <v>25</v>
      </c>
    </row>
    <row r="31" spans="1:18">
      <c r="A31" s="77">
        <v>65</v>
      </c>
      <c r="B31" s="78" t="e">
        <f>C31+(D31-C31)*E$29</f>
        <v>#DIV/0!</v>
      </c>
      <c r="C31" s="85">
        <f>HLOOKUP(B$29,B$38:AA$44,2)</f>
        <v>7.548</v>
      </c>
      <c r="D31" s="85">
        <f>HLOOKUP(HLOOKUP(B$29,B$38:AA$44,7)+1,B$37:AA$44,3)</f>
        <v>7.548</v>
      </c>
    </row>
    <row r="32" spans="1:18">
      <c r="A32" s="77">
        <v>70</v>
      </c>
      <c r="B32" s="78" t="e">
        <f>C32+(D32-C32)*E$29</f>
        <v>#DIV/0!</v>
      </c>
      <c r="C32" s="85">
        <f>HLOOKUP(B$29,B$38:AA$44,3)</f>
        <v>5.8</v>
      </c>
      <c r="D32" s="85">
        <f>HLOOKUP(HLOOKUP(B$29,B$38:AA$44,7)+1,B$37:AA$44,4)</f>
        <v>5.8</v>
      </c>
    </row>
    <row r="33" spans="1:27">
      <c r="A33" s="77">
        <v>75</v>
      </c>
      <c r="B33" s="78" t="e">
        <f>C33+(D33-C33)*E$29</f>
        <v>#DIV/0!</v>
      </c>
      <c r="C33" s="85">
        <f>HLOOKUP(B$29,B$38:AA$44,4)</f>
        <v>4.391</v>
      </c>
      <c r="D33" s="85">
        <f>HLOOKUP(HLOOKUP(B$29,B$38:AA$44,7)+1,B$37:AA$44,5)</f>
        <v>4.391</v>
      </c>
    </row>
    <row r="34" spans="1:27">
      <c r="A34" s="77">
        <v>80</v>
      </c>
      <c r="B34" s="78" t="e">
        <f>C34+(D34-C34)*E$29</f>
        <v>#DIV/0!</v>
      </c>
      <c r="C34" s="85">
        <f>HLOOKUP(B$29,B$38:AA$44,5)</f>
        <v>3.222</v>
      </c>
      <c r="D34" s="85">
        <f>HLOOKUP(HLOOKUP(B$29,B$38:AA$44,7)+1,B$37:AA$44,6)</f>
        <v>3.222</v>
      </c>
    </row>
    <row r="35" spans="1:27">
      <c r="A35" s="77">
        <v>85</v>
      </c>
      <c r="B35" s="78" t="e">
        <f>C35+(D35-C35)*E$29</f>
        <v>#DIV/0!</v>
      </c>
      <c r="C35" s="85">
        <f>HLOOKUP(B$29,B$38:AA$44,6)</f>
        <v>2.3090000000000002</v>
      </c>
      <c r="D35" s="85">
        <f>HLOOKUP(HLOOKUP(B$29,B$38:AA$44,7)+1,B$37:AA$44,7)</f>
        <v>2.3090000000000002</v>
      </c>
      <c r="E35" s="64"/>
      <c r="G35" s="64"/>
      <c r="H35" s="64"/>
      <c r="I35" s="64"/>
      <c r="J35" s="64"/>
      <c r="K35" s="64"/>
      <c r="L35" s="64"/>
      <c r="M35" s="64"/>
      <c r="N35" s="64"/>
      <c r="O35" s="64"/>
      <c r="P35" s="64"/>
      <c r="Q35" s="64"/>
      <c r="R35" s="64"/>
      <c r="S35" s="64"/>
      <c r="T35" s="64"/>
      <c r="U35" s="64"/>
      <c r="V35" s="64"/>
      <c r="W35" s="64"/>
      <c r="X35" s="64"/>
      <c r="Y35" s="64"/>
      <c r="Z35" s="64"/>
      <c r="AA35" s="64"/>
    </row>
    <row r="36" spans="1:27">
      <c r="B36" s="79" t="s">
        <v>109</v>
      </c>
      <c r="C36" s="64">
        <v>25</v>
      </c>
      <c r="D36" s="64">
        <v>24</v>
      </c>
      <c r="E36" s="64">
        <v>23</v>
      </c>
      <c r="F36" s="64">
        <v>22</v>
      </c>
      <c r="G36" s="64">
        <v>21</v>
      </c>
      <c r="H36" s="64">
        <v>20</v>
      </c>
      <c r="I36" s="64">
        <v>19</v>
      </c>
      <c r="J36" s="64">
        <v>18</v>
      </c>
      <c r="K36" s="64">
        <v>17</v>
      </c>
      <c r="L36" s="64">
        <v>16</v>
      </c>
      <c r="M36" s="64">
        <v>15</v>
      </c>
      <c r="N36" s="64">
        <v>14</v>
      </c>
      <c r="O36" s="64">
        <v>13</v>
      </c>
      <c r="P36" s="64">
        <v>12</v>
      </c>
      <c r="Q36" s="64">
        <v>11</v>
      </c>
      <c r="R36" s="64">
        <v>10</v>
      </c>
      <c r="S36" s="64">
        <v>9</v>
      </c>
      <c r="T36" s="64">
        <v>8</v>
      </c>
      <c r="U36" s="64">
        <v>7</v>
      </c>
      <c r="V36" s="64">
        <v>6</v>
      </c>
      <c r="W36" s="64">
        <v>5</v>
      </c>
      <c r="X36" s="64">
        <v>4</v>
      </c>
      <c r="Y36" s="64">
        <v>3</v>
      </c>
      <c r="Z36" s="64">
        <v>2</v>
      </c>
      <c r="AA36" s="64">
        <v>1</v>
      </c>
    </row>
    <row r="37" spans="1:27">
      <c r="B37" s="79"/>
      <c r="C37" s="64">
        <v>1</v>
      </c>
      <c r="D37" s="64">
        <v>2</v>
      </c>
      <c r="E37" s="64">
        <v>3</v>
      </c>
      <c r="F37" s="64">
        <v>4</v>
      </c>
      <c r="G37" s="64">
        <v>5</v>
      </c>
      <c r="H37" s="64">
        <v>6</v>
      </c>
      <c r="I37" s="64">
        <v>7</v>
      </c>
      <c r="J37" s="64">
        <v>8</v>
      </c>
      <c r="K37" s="64">
        <v>9</v>
      </c>
      <c r="L37" s="64">
        <v>10</v>
      </c>
      <c r="M37" s="64">
        <v>11</v>
      </c>
      <c r="N37" s="64">
        <v>12</v>
      </c>
      <c r="O37" s="64">
        <v>13</v>
      </c>
      <c r="P37" s="64">
        <v>14</v>
      </c>
      <c r="Q37" s="64">
        <v>15</v>
      </c>
      <c r="R37" s="64">
        <v>16</v>
      </c>
      <c r="S37" s="64">
        <v>17</v>
      </c>
      <c r="T37" s="64">
        <v>18</v>
      </c>
      <c r="U37" s="64">
        <v>19</v>
      </c>
      <c r="V37" s="64">
        <v>20</v>
      </c>
      <c r="W37" s="64">
        <v>21</v>
      </c>
      <c r="X37" s="64">
        <v>22</v>
      </c>
      <c r="Y37" s="64">
        <v>23</v>
      </c>
      <c r="Z37" s="64">
        <v>24</v>
      </c>
      <c r="AA37" s="64">
        <v>25</v>
      </c>
    </row>
    <row r="38" spans="1:27">
      <c r="B38" s="80" t="s">
        <v>110</v>
      </c>
      <c r="C38" s="81">
        <v>0.11700000000000001</v>
      </c>
      <c r="D38" s="81">
        <v>0.17499999999999999</v>
      </c>
      <c r="E38" s="81">
        <v>0.23499999999999999</v>
      </c>
      <c r="F38" s="81">
        <v>0.29799999999999999</v>
      </c>
      <c r="G38" s="81">
        <v>0.36499999999999999</v>
      </c>
      <c r="H38" s="81">
        <v>0.438</v>
      </c>
      <c r="I38" s="81">
        <v>0.501</v>
      </c>
      <c r="J38" s="81">
        <v>0.56000000000000005</v>
      </c>
      <c r="K38" s="81">
        <v>0.61699999999999999</v>
      </c>
      <c r="L38" s="81">
        <v>0.67300000000000004</v>
      </c>
      <c r="M38" s="81">
        <v>0.72899999999999998</v>
      </c>
      <c r="N38" s="81">
        <v>0.78700000000000003</v>
      </c>
      <c r="O38" s="81">
        <v>0.82699999999999996</v>
      </c>
      <c r="P38" s="81">
        <v>0.872</v>
      </c>
      <c r="Q38" s="81">
        <v>0.91800000000000004</v>
      </c>
      <c r="R38" s="81">
        <v>0.96399999999999997</v>
      </c>
      <c r="S38" s="81">
        <v>1.012</v>
      </c>
      <c r="T38" s="81">
        <v>1.0620000000000001</v>
      </c>
      <c r="U38" s="81">
        <v>1.115</v>
      </c>
      <c r="V38" s="81">
        <v>1.171</v>
      </c>
      <c r="W38" s="81">
        <v>1.2330000000000001</v>
      </c>
      <c r="X38" s="81">
        <v>1.3</v>
      </c>
      <c r="Y38" s="81">
        <v>1.3759999999999999</v>
      </c>
      <c r="Z38" s="82">
        <v>1.462</v>
      </c>
      <c r="AA38" s="82">
        <v>1.5609999999999999</v>
      </c>
    </row>
    <row r="39" spans="1:27">
      <c r="B39" s="49" t="s">
        <v>19</v>
      </c>
      <c r="C39" s="83">
        <f>IF(Introduction!$D$10="男性",C48,C56)</f>
        <v>17.5</v>
      </c>
      <c r="D39" s="83">
        <f>IF(Introduction!$D$10="男性",D48,D56)</f>
        <v>16.38</v>
      </c>
      <c r="E39" s="83">
        <f>IF(Introduction!$D$10="男性",E48,E56)</f>
        <v>15.52</v>
      </c>
      <c r="F39" s="83">
        <f>IF(Introduction!$D$10="男性",F48,F56)</f>
        <v>14.85</v>
      </c>
      <c r="G39" s="83">
        <f>IF(Introduction!$D$10="男性",G48,G56)</f>
        <v>14.3</v>
      </c>
      <c r="H39" s="83">
        <f>IF(Introduction!$D$10="男性",H48,H56)</f>
        <v>13.93</v>
      </c>
      <c r="I39" s="83">
        <f>IF(Introduction!$D$10="男性",I48,I56)</f>
        <v>13.6</v>
      </c>
      <c r="J39" s="83">
        <f>IF(Introduction!$D$10="男性",J48,J56)</f>
        <v>13.28</v>
      </c>
      <c r="K39" s="83">
        <f>IF(Introduction!$D$10="男性",K48,K56)</f>
        <v>12.97</v>
      </c>
      <c r="L39" s="83">
        <f>IF(Introduction!$D$10="男性",L48,L56)</f>
        <v>12.67</v>
      </c>
      <c r="M39" s="83">
        <f>IF(Introduction!$D$10="男性",M48,M56)</f>
        <v>12.4</v>
      </c>
      <c r="N39" s="83">
        <f>IF(Introduction!$D$10="男性",N48,N56)</f>
        <v>12.13</v>
      </c>
      <c r="O39" s="83">
        <f>IF(Introduction!$D$10="男性",O48,O56)</f>
        <v>11.87</v>
      </c>
      <c r="P39" s="83">
        <f>IF(Introduction!$D$10="男性",P48,P56)</f>
        <v>11.56</v>
      </c>
      <c r="Q39" s="83">
        <f>IF(Introduction!$D$10="男性",Q48,Q56)</f>
        <v>11.23</v>
      </c>
      <c r="R39" s="83">
        <f>IF(Introduction!$D$10="男性",R48,R56)</f>
        <v>10.9</v>
      </c>
      <c r="S39" s="83">
        <f>IF(Introduction!$D$10="男性",S48,S56)</f>
        <v>10.56</v>
      </c>
      <c r="T39" s="83">
        <f>IF(Introduction!$D$10="男性",T48,T56)</f>
        <v>10.220000000000001</v>
      </c>
      <c r="U39" s="83">
        <f>IF(Introduction!$D$10="男性",U48,U56)</f>
        <v>9.86</v>
      </c>
      <c r="V39" s="83">
        <f>IF(Introduction!$D$10="男性",V48,V56)</f>
        <v>9.5</v>
      </c>
      <c r="W39" s="83">
        <f>IF(Introduction!$D$10="男性",W48,W56)</f>
        <v>9.1300000000000008</v>
      </c>
      <c r="X39" s="83">
        <f>IF(Introduction!$D$10="男性",X48,X56)</f>
        <v>8.76</v>
      </c>
      <c r="Y39" s="83">
        <f>IF(Introduction!$D$10="男性",Y48,Y56)</f>
        <v>8.3699999999999992</v>
      </c>
      <c r="Z39" s="83">
        <f>IF(Introduction!$D$10="男性",Z48,Z56)</f>
        <v>7.9640000000000004</v>
      </c>
      <c r="AA39" s="83">
        <f>IF(Introduction!$D$10="男性",AA48,AA56)</f>
        <v>7.548</v>
      </c>
    </row>
    <row r="40" spans="1:27">
      <c r="B40" s="49" t="s">
        <v>20</v>
      </c>
      <c r="C40" s="83">
        <f>IF(Introduction!$D$10="男性",C49,C57)</f>
        <v>13.58</v>
      </c>
      <c r="D40" s="83">
        <f>IF(Introduction!$D$10="男性",D49,D57)</f>
        <v>12.66</v>
      </c>
      <c r="E40" s="83">
        <f>IF(Introduction!$D$10="男性",E49,E57)</f>
        <v>11.97</v>
      </c>
      <c r="F40" s="83">
        <f>IF(Introduction!$D$10="男性",F49,F57)</f>
        <v>11.44</v>
      </c>
      <c r="G40" s="83">
        <f>IF(Introduction!$D$10="男性",G49,G57)</f>
        <v>11.01</v>
      </c>
      <c r="H40" s="83">
        <f>IF(Introduction!$D$10="男性",H49,H57)</f>
        <v>10.73</v>
      </c>
      <c r="I40" s="83">
        <f>IF(Introduction!$D$10="男性",I49,I57)</f>
        <v>10.48</v>
      </c>
      <c r="J40" s="83">
        <f>IF(Introduction!$D$10="男性",J49,J57)</f>
        <v>10.23</v>
      </c>
      <c r="K40" s="83">
        <f>IF(Introduction!$D$10="男性",K49,K57)</f>
        <v>10</v>
      </c>
      <c r="L40" s="83">
        <f>IF(Introduction!$D$10="男性",L49,L57)</f>
        <v>9.7899999999999991</v>
      </c>
      <c r="M40" s="83">
        <f>IF(Introduction!$D$10="男性",M49,M57)</f>
        <v>9.56</v>
      </c>
      <c r="N40" s="83">
        <f>IF(Introduction!$D$10="男性",N49,N57)</f>
        <v>9.3699999999999992</v>
      </c>
      <c r="O40" s="83">
        <f>IF(Introduction!$D$10="男性",O49,O57)</f>
        <v>9.17</v>
      </c>
      <c r="P40" s="83">
        <f>IF(Introduction!$D$10="男性",P49,P57)</f>
        <v>8.92</v>
      </c>
      <c r="Q40" s="83">
        <f>IF(Introduction!$D$10="男性",Q49,Q57)</f>
        <v>8.67</v>
      </c>
      <c r="R40" s="83">
        <f>IF(Introduction!$D$10="男性",R49,R57)</f>
        <v>8.42</v>
      </c>
      <c r="S40" s="83">
        <f>IF(Introduction!$D$10="男性",S49,S57)</f>
        <v>8.1590000000000007</v>
      </c>
      <c r="T40" s="83">
        <f>IF(Introduction!$D$10="男性",T49,T57)</f>
        <v>7.8929999999999998</v>
      </c>
      <c r="U40" s="83">
        <f>IF(Introduction!$D$10="男性",U49,U57)</f>
        <v>7.62</v>
      </c>
      <c r="V40" s="83">
        <f>IF(Introduction!$D$10="男性",V49,V57)</f>
        <v>7.3390000000000004</v>
      </c>
      <c r="W40" s="83">
        <f>IF(Introduction!$D$10="男性",W49,W57)</f>
        <v>7.0510000000000002</v>
      </c>
      <c r="X40" s="83">
        <f>IF(Introduction!$D$10="男性",X49,X57)</f>
        <v>6.7539999999999996</v>
      </c>
      <c r="Y40" s="83">
        <f>IF(Introduction!$D$10="男性",Y49,Y57)</f>
        <v>6.4480000000000004</v>
      </c>
      <c r="Z40" s="83">
        <f>IF(Introduction!$D$10="男性",Z49,Z57)</f>
        <v>6.13</v>
      </c>
      <c r="AA40" s="83">
        <f>IF(Introduction!$D$10="男性",AA49,AA57)</f>
        <v>5.8</v>
      </c>
    </row>
    <row r="41" spans="1:27">
      <c r="B41" s="49" t="s">
        <v>21</v>
      </c>
      <c r="C41" s="83">
        <f>IF(Introduction!$D$10="男性",C50,C58)</f>
        <v>10.17</v>
      </c>
      <c r="D41" s="83">
        <f>IF(Introduction!$D$10="男性",D50,D58)</f>
        <v>9.4600000000000009</v>
      </c>
      <c r="E41" s="83">
        <f>IF(Introduction!$D$10="男性",E50,E58)</f>
        <v>8.94</v>
      </c>
      <c r="F41" s="83">
        <f>IF(Introduction!$D$10="男性",F50,F58)</f>
        <v>8.5399999999999991</v>
      </c>
      <c r="G41" s="83">
        <f>IF(Introduction!$D$10="男性",G50,G58)</f>
        <v>8.2200000000000006</v>
      </c>
      <c r="H41" s="83">
        <f>IF(Introduction!$D$10="男性",H50,H58)</f>
        <v>8.01</v>
      </c>
      <c r="I41" s="83">
        <f>IF(Introduction!$D$10="男性",I50,I58)</f>
        <v>7.83</v>
      </c>
      <c r="J41" s="83">
        <f>IF(Introduction!$D$10="男性",J50,J58)</f>
        <v>7.65</v>
      </c>
      <c r="K41" s="83">
        <f>IF(Introduction!$D$10="男性",K50,K58)</f>
        <v>7.48</v>
      </c>
      <c r="L41" s="83">
        <f>IF(Introduction!$D$10="男性",L50,L58)</f>
        <v>7.32</v>
      </c>
      <c r="M41" s="83">
        <f>IF(Introduction!$D$10="男性",M50,M58)</f>
        <v>7.16</v>
      </c>
      <c r="N41" s="83">
        <f>IF(Introduction!$D$10="男性",N50,N58)</f>
        <v>7.02</v>
      </c>
      <c r="O41" s="83">
        <f>IF(Introduction!$D$10="男性",O50,O58)</f>
        <v>6.88</v>
      </c>
      <c r="P41" s="83">
        <f>IF(Introduction!$D$10="男性",P50,P58)</f>
        <v>6.7</v>
      </c>
      <c r="Q41" s="83">
        <f>IF(Introduction!$D$10="男性",Q50,Q58)</f>
        <v>6.52</v>
      </c>
      <c r="R41" s="83">
        <f>IF(Introduction!$D$10="男性",R50,R58)</f>
        <v>6.33</v>
      </c>
      <c r="S41" s="83">
        <f>IF(Introduction!$D$10="男性",S50,S58)</f>
        <v>6.14</v>
      </c>
      <c r="T41" s="83">
        <f>IF(Introduction!$D$10="男性",T50,T58)</f>
        <v>5.95</v>
      </c>
      <c r="U41" s="83">
        <f>IF(Introduction!$D$10="男性",U50,U58)</f>
        <v>5.75</v>
      </c>
      <c r="V41" s="83">
        <f>IF(Introduction!$D$10="男性",V50,V58)</f>
        <v>5.54</v>
      </c>
      <c r="W41" s="83">
        <f>IF(Introduction!$D$10="男性",W50,W58)</f>
        <v>5.33</v>
      </c>
      <c r="X41" s="83">
        <f>IF(Introduction!$D$10="男性",X50,X58)</f>
        <v>5.1100000000000003</v>
      </c>
      <c r="Y41" s="83">
        <f>IF(Introduction!$D$10="男性",Y50,Y58)</f>
        <v>4.88</v>
      </c>
      <c r="Z41" s="83">
        <f>IF(Introduction!$D$10="男性",Z50,Z58)</f>
        <v>4.6399999999999997</v>
      </c>
      <c r="AA41" s="83">
        <f>IF(Introduction!$D$10="男性",AA50,AA58)</f>
        <v>4.391</v>
      </c>
    </row>
    <row r="42" spans="1:27">
      <c r="B42" s="49" t="s">
        <v>22</v>
      </c>
      <c r="C42" s="83">
        <f>IF(Introduction!$D$10="男性",C51,C59)</f>
        <v>7.45</v>
      </c>
      <c r="D42" s="83">
        <f>IF(Introduction!$D$10="男性",D51,D59)</f>
        <v>6.91</v>
      </c>
      <c r="E42" s="83">
        <f>IF(Introduction!$D$10="男性",E51,E59)</f>
        <v>6.52</v>
      </c>
      <c r="F42" s="83">
        <f>IF(Introduction!$D$10="男性",F51,F59)</f>
        <v>6.22</v>
      </c>
      <c r="G42" s="83">
        <f>IF(Introduction!$D$10="男性",G51,G59)</f>
        <v>5.99</v>
      </c>
      <c r="H42" s="83">
        <f>IF(Introduction!$D$10="男性",H51,H59)</f>
        <v>5.84</v>
      </c>
      <c r="I42" s="83">
        <f>IF(Introduction!$D$10="男性",I51,I59)</f>
        <v>5.7</v>
      </c>
      <c r="J42" s="83">
        <f>IF(Introduction!$D$10="男性",J51,J59)</f>
        <v>5.57</v>
      </c>
      <c r="K42" s="83">
        <f>IF(Introduction!$D$10="男性",K51,K59)</f>
        <v>5.44</v>
      </c>
      <c r="L42" s="83">
        <f>IF(Introduction!$D$10="男性",L51,L59)</f>
        <v>5.33</v>
      </c>
      <c r="M42" s="83">
        <f>IF(Introduction!$D$10="男性",M51,M59)</f>
        <v>5.21</v>
      </c>
      <c r="N42" s="83">
        <f>IF(Introduction!$D$10="男性",N51,N59)</f>
        <v>5.1100000000000003</v>
      </c>
      <c r="O42" s="83">
        <f>IF(Introduction!$D$10="男性",O51,O59)</f>
        <v>5</v>
      </c>
      <c r="P42" s="83">
        <f>IF(Introduction!$D$10="男性",P51,P59)</f>
        <v>4.88</v>
      </c>
      <c r="Q42" s="83">
        <f>IF(Introduction!$D$10="男性",Q51,Q59)</f>
        <v>4.74</v>
      </c>
      <c r="R42" s="83">
        <f>IF(Introduction!$D$10="男性",R51,R59)</f>
        <v>4.6100000000000003</v>
      </c>
      <c r="S42" s="83">
        <f>IF(Introduction!$D$10="男性",S51,S59)</f>
        <v>4.47</v>
      </c>
      <c r="T42" s="83">
        <f>IF(Introduction!$D$10="男性",T51,T59)</f>
        <v>4.33</v>
      </c>
      <c r="U42" s="83">
        <f>IF(Introduction!$D$10="男性",U51,U59)</f>
        <v>4.1900000000000004</v>
      </c>
      <c r="V42" s="83">
        <f>IF(Introduction!$D$10="男性",V51,V59)</f>
        <v>4.04</v>
      </c>
      <c r="W42" s="83">
        <f>IF(Introduction!$D$10="男性",W51,W59)</f>
        <v>3.89</v>
      </c>
      <c r="X42" s="83">
        <f>IF(Introduction!$D$10="男性",X51,X59)</f>
        <v>3.73</v>
      </c>
      <c r="Y42" s="83">
        <f>IF(Introduction!$D$10="男性",Y51,Y59)</f>
        <v>3.57</v>
      </c>
      <c r="Z42" s="83">
        <f>IF(Introduction!$D$10="男性",Z51,Z59)</f>
        <v>3.3980000000000001</v>
      </c>
      <c r="AA42" s="83">
        <f>IF(Introduction!$D$10="男性",AA51,AA59)</f>
        <v>3.222</v>
      </c>
    </row>
    <row r="43" spans="1:27">
      <c r="B43" s="49" t="s">
        <v>23</v>
      </c>
      <c r="C43" s="83">
        <f>IF(Introduction!$D$10="男性",C52,C60)</f>
        <v>5.24</v>
      </c>
      <c r="D43" s="83">
        <f>IF(Introduction!$D$10="男性",D52,D60)</f>
        <v>4.8600000000000003</v>
      </c>
      <c r="E43" s="83">
        <f>IF(Introduction!$D$10="男性",E52,E60)</f>
        <v>4.59</v>
      </c>
      <c r="F43" s="83">
        <f>IF(Introduction!$D$10="男性",F52,F60)</f>
        <v>4.38</v>
      </c>
      <c r="G43" s="83">
        <f>IF(Introduction!$D$10="男性",G52,G60)</f>
        <v>4.21</v>
      </c>
      <c r="H43" s="83">
        <f>IF(Introduction!$D$10="男性",H52,H60)</f>
        <v>4.1100000000000003</v>
      </c>
      <c r="I43" s="83">
        <f>IF(Introduction!$D$10="男性",I52,I60)</f>
        <v>4.01</v>
      </c>
      <c r="J43" s="83">
        <f>IF(Introduction!$D$10="男性",J52,J60)</f>
        <v>3.92</v>
      </c>
      <c r="K43" s="83">
        <f>IF(Introduction!$D$10="男性",K52,K60)</f>
        <v>3.92</v>
      </c>
      <c r="L43" s="83">
        <f>IF(Introduction!$D$10="男性",L52,L60)</f>
        <v>3.75</v>
      </c>
      <c r="M43" s="83">
        <f>IF(Introduction!$D$10="男性",M52,M60)</f>
        <v>3.67</v>
      </c>
      <c r="N43" s="83">
        <f>IF(Introduction!$D$10="男性",N52,N60)</f>
        <v>3.6</v>
      </c>
      <c r="O43" s="83">
        <f>IF(Introduction!$D$10="男性",O52,O60)</f>
        <v>3.53</v>
      </c>
      <c r="P43" s="83">
        <f>IF(Introduction!$D$10="男性",P52,P60)</f>
        <v>3.44</v>
      </c>
      <c r="Q43" s="83">
        <f>IF(Introduction!$D$10="男性",Q52,Q60)</f>
        <v>3.35</v>
      </c>
      <c r="R43" s="83">
        <f>IF(Introduction!$D$10="男性",R52,R60)</f>
        <v>3.26</v>
      </c>
      <c r="S43" s="83">
        <f>IF(Introduction!$D$10="男性",S52,S60)</f>
        <v>3.16</v>
      </c>
      <c r="T43" s="83">
        <f>IF(Introduction!$D$10="男性",T52,T60)</f>
        <v>3.07</v>
      </c>
      <c r="U43" s="83">
        <f>IF(Introduction!$D$10="男性",U52,U60)</f>
        <v>2.97</v>
      </c>
      <c r="V43" s="83">
        <f>IF(Introduction!$D$10="男性",V52,V60)</f>
        <v>2.87</v>
      </c>
      <c r="W43" s="83">
        <f>IF(Introduction!$D$10="男性",W52,W60)</f>
        <v>2.76</v>
      </c>
      <c r="X43" s="83">
        <f>IF(Introduction!$D$10="男性",X52,X60)</f>
        <v>2.65</v>
      </c>
      <c r="Y43" s="83">
        <f>IF(Introduction!$D$10="男性",Y52,Y60)</f>
        <v>2.54</v>
      </c>
      <c r="Z43" s="83">
        <f>IF(Introduction!$D$10="男性",Z52,Z60)</f>
        <v>2.4289999999999998</v>
      </c>
      <c r="AA43" s="83">
        <f>IF(Introduction!$D$10="男性",AA52,AA60)</f>
        <v>2.3090000000000002</v>
      </c>
    </row>
    <row r="44" spans="1:27">
      <c r="C44" s="49">
        <v>1</v>
      </c>
      <c r="D44" s="49">
        <v>2</v>
      </c>
      <c r="E44" s="49">
        <v>3</v>
      </c>
      <c r="F44" s="49">
        <v>4</v>
      </c>
      <c r="G44" s="49">
        <v>5</v>
      </c>
      <c r="H44" s="49">
        <v>6</v>
      </c>
      <c r="I44" s="49">
        <v>7</v>
      </c>
      <c r="J44" s="49">
        <v>8</v>
      </c>
      <c r="K44" s="49">
        <v>9</v>
      </c>
      <c r="L44" s="49">
        <v>10</v>
      </c>
      <c r="M44" s="49">
        <v>11</v>
      </c>
      <c r="N44" s="49">
        <v>12</v>
      </c>
      <c r="O44" s="49">
        <v>13</v>
      </c>
      <c r="P44" s="49">
        <v>14</v>
      </c>
      <c r="Q44" s="49">
        <v>15</v>
      </c>
      <c r="R44" s="49">
        <v>16</v>
      </c>
      <c r="S44" s="49">
        <v>17</v>
      </c>
      <c r="T44" s="49">
        <v>18</v>
      </c>
      <c r="U44" s="49">
        <v>19</v>
      </c>
      <c r="V44" s="49">
        <v>20</v>
      </c>
      <c r="W44" s="49">
        <v>21</v>
      </c>
      <c r="X44" s="49">
        <v>22</v>
      </c>
      <c r="Y44" s="49">
        <v>23</v>
      </c>
      <c r="Z44" s="49">
        <v>24</v>
      </c>
      <c r="AA44" s="49">
        <v>25</v>
      </c>
    </row>
    <row r="46" spans="1:27">
      <c r="A46" s="49" t="s">
        <v>81</v>
      </c>
      <c r="B46" s="79" t="s">
        <v>109</v>
      </c>
      <c r="C46" s="64">
        <v>25</v>
      </c>
      <c r="D46" s="64">
        <v>24</v>
      </c>
      <c r="E46" s="64">
        <v>23</v>
      </c>
      <c r="F46" s="64">
        <v>22</v>
      </c>
      <c r="G46" s="64">
        <v>21</v>
      </c>
      <c r="H46" s="64">
        <v>20</v>
      </c>
      <c r="I46" s="64">
        <v>19</v>
      </c>
      <c r="J46" s="64">
        <v>18</v>
      </c>
      <c r="K46" s="64">
        <v>17</v>
      </c>
      <c r="L46" s="64">
        <v>16</v>
      </c>
      <c r="M46" s="64">
        <v>15</v>
      </c>
      <c r="N46" s="64">
        <v>14</v>
      </c>
      <c r="O46" s="64">
        <v>13</v>
      </c>
      <c r="P46" s="64">
        <v>12</v>
      </c>
      <c r="Q46" s="64">
        <v>11</v>
      </c>
      <c r="R46" s="64">
        <v>10</v>
      </c>
      <c r="S46" s="64">
        <v>9</v>
      </c>
      <c r="T46" s="64">
        <v>8</v>
      </c>
      <c r="U46" s="64">
        <v>7</v>
      </c>
      <c r="V46" s="64">
        <v>6</v>
      </c>
      <c r="W46" s="64">
        <v>5</v>
      </c>
      <c r="X46" s="64">
        <v>4</v>
      </c>
      <c r="Y46" s="64">
        <v>3</v>
      </c>
      <c r="Z46" s="64">
        <v>2</v>
      </c>
      <c r="AA46" s="64">
        <v>1</v>
      </c>
    </row>
    <row r="47" spans="1:27">
      <c r="B47" s="80" t="s">
        <v>110</v>
      </c>
      <c r="C47" s="81">
        <v>0.11700000000000001</v>
      </c>
      <c r="D47" s="81">
        <v>0.17499999999999999</v>
      </c>
      <c r="E47" s="81">
        <v>0.23499999999999999</v>
      </c>
      <c r="F47" s="81">
        <v>0.29799999999999999</v>
      </c>
      <c r="G47" s="81">
        <v>0.36499999999999999</v>
      </c>
      <c r="H47" s="81">
        <v>0.438</v>
      </c>
      <c r="I47" s="81">
        <v>0.501</v>
      </c>
      <c r="J47" s="81">
        <v>0.56000000000000005</v>
      </c>
      <c r="K47" s="81">
        <v>0.61699999999999999</v>
      </c>
      <c r="L47" s="81">
        <v>0.67300000000000004</v>
      </c>
      <c r="M47" s="81">
        <v>0.72899999999999998</v>
      </c>
      <c r="N47" s="81">
        <v>0.78700000000000003</v>
      </c>
      <c r="O47" s="81">
        <v>0.82699999999999996</v>
      </c>
      <c r="P47" s="81">
        <v>0.872</v>
      </c>
      <c r="Q47" s="81">
        <v>0.91800000000000004</v>
      </c>
      <c r="R47" s="81">
        <v>0.96399999999999997</v>
      </c>
      <c r="S47" s="81">
        <v>1.012</v>
      </c>
      <c r="T47" s="81">
        <v>1.0620000000000001</v>
      </c>
      <c r="U47" s="81">
        <v>1.115</v>
      </c>
      <c r="V47" s="81">
        <v>1.171</v>
      </c>
      <c r="W47" s="81">
        <v>1.2330000000000001</v>
      </c>
      <c r="X47" s="81">
        <v>1.3</v>
      </c>
      <c r="Y47" s="81">
        <v>1.3759999999999999</v>
      </c>
      <c r="Z47" s="82">
        <v>1.462</v>
      </c>
      <c r="AA47" s="82">
        <v>1.5609999999999999</v>
      </c>
    </row>
    <row r="48" spans="1:27">
      <c r="B48" s="49" t="s">
        <v>19</v>
      </c>
      <c r="C48" s="83">
        <v>15.542523208944173</v>
      </c>
      <c r="D48" s="83">
        <v>14.563172016014803</v>
      </c>
      <c r="E48" s="83">
        <v>13.823402833641209</v>
      </c>
      <c r="F48" s="83">
        <v>13.249643783458126</v>
      </c>
      <c r="G48" s="83">
        <v>12.795913327313944</v>
      </c>
      <c r="H48" s="83">
        <v>12.494320218814803</v>
      </c>
      <c r="I48" s="83">
        <v>12.215143910006702</v>
      </c>
      <c r="J48" s="83">
        <v>11.946673438449171</v>
      </c>
      <c r="K48" s="83">
        <v>11.69074611773123</v>
      </c>
      <c r="L48" s="83">
        <v>11.44790611737503</v>
      </c>
      <c r="M48" s="83">
        <v>11.218453202765543</v>
      </c>
      <c r="N48" s="83">
        <v>11.002493654238402</v>
      </c>
      <c r="O48" s="83">
        <v>10.778824701548249</v>
      </c>
      <c r="P48" s="83">
        <v>10.50088689536136</v>
      </c>
      <c r="Q48" s="83">
        <v>10.223230911484942</v>
      </c>
      <c r="R48" s="83">
        <v>9.9665838060006013</v>
      </c>
      <c r="S48" s="83">
        <v>9.6490561714956531</v>
      </c>
      <c r="T48" s="83">
        <v>9.3516878270439925</v>
      </c>
      <c r="U48" s="83">
        <v>9.0462750779603471</v>
      </c>
      <c r="V48" s="83">
        <v>8.7330153943800894</v>
      </c>
      <c r="W48" s="83">
        <v>8.4103852644832298</v>
      </c>
      <c r="X48" s="83">
        <v>8.0785394705963309</v>
      </c>
      <c r="Y48" s="83">
        <v>7.7339184642774654</v>
      </c>
      <c r="Z48" s="83">
        <v>7.3797213251180001</v>
      </c>
      <c r="AA48" s="83">
        <v>7.010942983215223</v>
      </c>
    </row>
    <row r="49" spans="1:27">
      <c r="B49" s="49" t="s">
        <v>20</v>
      </c>
      <c r="C49" s="83">
        <v>12.058055690402281</v>
      </c>
      <c r="D49" s="83">
        <v>11.277042731869303</v>
      </c>
      <c r="E49" s="83">
        <v>10.695839360567929</v>
      </c>
      <c r="F49" s="83">
        <v>10.249929354775103</v>
      </c>
      <c r="G49" s="83">
        <v>9.8996111231344042</v>
      </c>
      <c r="H49" s="83">
        <v>9.6705511783131541</v>
      </c>
      <c r="I49" s="83">
        <v>9.4595935077993119</v>
      </c>
      <c r="J49" s="83">
        <v>9.2568100664865529</v>
      </c>
      <c r="K49" s="83">
        <v>9.0635941477137898</v>
      </c>
      <c r="L49" s="83">
        <v>8.8809963172498119</v>
      </c>
      <c r="M49" s="83">
        <v>8.7083645356673411</v>
      </c>
      <c r="N49" s="83">
        <v>8.5459467886343763</v>
      </c>
      <c r="O49" s="83">
        <v>8.378017563731234</v>
      </c>
      <c r="P49" s="83">
        <v>8.1692745226097276</v>
      </c>
      <c r="Q49" s="83">
        <v>7.9583541770082356</v>
      </c>
      <c r="R49" s="83">
        <v>7.742370616067606</v>
      </c>
      <c r="S49" s="83">
        <v>7.5210167520455959</v>
      </c>
      <c r="T49" s="83">
        <v>7.2935967218505855</v>
      </c>
      <c r="U49" s="83">
        <v>7.0593654514788922</v>
      </c>
      <c r="V49" s="83">
        <v>6.8189127742693616</v>
      </c>
      <c r="W49" s="83">
        <v>6.5696004449625267</v>
      </c>
      <c r="X49" s="83">
        <v>6.313086910600088</v>
      </c>
      <c r="Y49" s="83">
        <v>6.0456361187009273</v>
      </c>
      <c r="Z49" s="83">
        <v>5.7685368074404133</v>
      </c>
      <c r="AA49" s="83">
        <v>5.4825184792642405</v>
      </c>
    </row>
    <row r="50" spans="1:27">
      <c r="B50" s="49" t="s">
        <v>21</v>
      </c>
      <c r="C50" s="83">
        <v>9.0757266230348215</v>
      </c>
      <c r="D50" s="83">
        <v>8.4743391560584769</v>
      </c>
      <c r="E50" s="83">
        <v>8.0317112318620065</v>
      </c>
      <c r="F50" s="83">
        <v>7.6946545521614151</v>
      </c>
      <c r="G50" s="83">
        <v>7.4316693211028051</v>
      </c>
      <c r="H50" s="83">
        <v>7.2613452817704429</v>
      </c>
      <c r="I50" s="83">
        <v>7.1046318375154165</v>
      </c>
      <c r="J50" s="83">
        <v>6.9541656410676023</v>
      </c>
      <c r="K50" s="83">
        <v>6.8108568713417803</v>
      </c>
      <c r="L50" s="83">
        <v>6.6758046240945781</v>
      </c>
      <c r="M50" s="83">
        <v>6.5481532133333014</v>
      </c>
      <c r="N50" s="83">
        <v>6.4278962350883138</v>
      </c>
      <c r="O50" s="83">
        <v>6.3043359725688548</v>
      </c>
      <c r="P50" s="83">
        <v>6.1481728526331674</v>
      </c>
      <c r="Q50" s="83">
        <v>5.9908772290269718</v>
      </c>
      <c r="R50" s="83">
        <v>5.8299878742580757</v>
      </c>
      <c r="S50" s="83">
        <v>5.6642616404279789</v>
      </c>
      <c r="T50" s="83">
        <v>5.4930660519331003</v>
      </c>
      <c r="U50" s="83">
        <v>5.3171796563093041</v>
      </c>
      <c r="V50" s="83">
        <v>5.1354229188609848</v>
      </c>
      <c r="W50" s="83">
        <v>4.9464551221252195</v>
      </c>
      <c r="X50" s="83">
        <v>4.7522406276286269</v>
      </c>
      <c r="Y50" s="83">
        <v>4.5475484026664601</v>
      </c>
      <c r="Z50" s="83">
        <v>4.3345661501072827</v>
      </c>
      <c r="AA50" s="83">
        <v>4.1196229478646709</v>
      </c>
    </row>
    <row r="51" spans="1:27">
      <c r="B51" s="49" t="s">
        <v>22</v>
      </c>
      <c r="C51" s="83">
        <v>6.6589860431805032</v>
      </c>
      <c r="D51" s="83">
        <v>6.2084657631065516</v>
      </c>
      <c r="E51" s="83">
        <v>5.8793232257209285</v>
      </c>
      <c r="F51" s="83">
        <v>5.629412533876315</v>
      </c>
      <c r="G51" s="83">
        <v>5.435550232403024</v>
      </c>
      <c r="H51" s="83">
        <v>5.3099944825597936</v>
      </c>
      <c r="I51" s="83">
        <v>5.1947009480833586</v>
      </c>
      <c r="J51" s="83">
        <v>5.0843048764259766</v>
      </c>
      <c r="K51" s="83">
        <v>4.979144163540739</v>
      </c>
      <c r="L51" s="83">
        <v>4.8806869512584541</v>
      </c>
      <c r="M51" s="83">
        <v>4.7873073211627055</v>
      </c>
      <c r="N51" s="83">
        <v>4.6993580567130175</v>
      </c>
      <c r="O51" s="83">
        <v>4.6097928111644793</v>
      </c>
      <c r="P51" s="83">
        <v>4.4961005194964301</v>
      </c>
      <c r="Q51" s="83">
        <v>4.3819872989921089</v>
      </c>
      <c r="R51" s="83">
        <v>4.2649228401010753</v>
      </c>
      <c r="S51" s="83">
        <v>4.1450135117471145</v>
      </c>
      <c r="T51" s="83">
        <v>4.0214102997471821</v>
      </c>
      <c r="U51" s="83">
        <v>3.8946070382808955</v>
      </c>
      <c r="V51" s="83">
        <v>3.7632824472645776</v>
      </c>
      <c r="W51" s="83">
        <v>3.6273600765154574</v>
      </c>
      <c r="X51" s="83">
        <v>3.4881926975884703</v>
      </c>
      <c r="Y51" s="83">
        <v>3.3433213948977136</v>
      </c>
      <c r="Z51" s="83">
        <v>3.1909587910026564</v>
      </c>
      <c r="AA51" s="83">
        <v>3.0523996956283717</v>
      </c>
    </row>
    <row r="52" spans="1:27">
      <c r="B52" s="49" t="s">
        <v>23</v>
      </c>
      <c r="C52" s="83">
        <v>4.711508959947535</v>
      </c>
      <c r="D52" s="83">
        <v>4.3926575851084371</v>
      </c>
      <c r="E52" s="83">
        <v>4.1613605161581377</v>
      </c>
      <c r="F52" s="83">
        <v>3.9855517794742239</v>
      </c>
      <c r="G52" s="83">
        <v>3.8503837138879144</v>
      </c>
      <c r="H52" s="83">
        <v>3.762306739169115</v>
      </c>
      <c r="I52" s="83">
        <v>3.6815939899562924</v>
      </c>
      <c r="J52" s="83">
        <v>3.6044456542042171</v>
      </c>
      <c r="K52" s="83">
        <v>3.5312191479353054</v>
      </c>
      <c r="L52" s="83">
        <v>3.4629328794931094</v>
      </c>
      <c r="M52" s="83">
        <v>3.3980070338305834</v>
      </c>
      <c r="N52" s="83">
        <v>3.3365511508236421</v>
      </c>
      <c r="O52" s="83">
        <v>3.2748574296644595</v>
      </c>
      <c r="P52" s="83">
        <v>3.1957238293991801</v>
      </c>
      <c r="Q52" s="83">
        <v>3.1165650106626632</v>
      </c>
      <c r="R52" s="83">
        <v>3.0353936238556933</v>
      </c>
      <c r="S52" s="83">
        <v>2.9519623633898817</v>
      </c>
      <c r="T52" s="83">
        <v>2.866418360912856</v>
      </c>
      <c r="U52" s="83">
        <v>2.7800694179432375</v>
      </c>
      <c r="V52" s="83">
        <v>2.6895733310800547</v>
      </c>
      <c r="W52" s="83">
        <v>2.5946083388867853</v>
      </c>
      <c r="X52" s="83">
        <v>2.4970965265387077</v>
      </c>
      <c r="Y52" s="83">
        <v>2.3995039079396792</v>
      </c>
      <c r="Z52" s="83">
        <v>2.3022871011431754</v>
      </c>
      <c r="AA52" s="83">
        <v>2.2193736625938296</v>
      </c>
    </row>
    <row r="54" spans="1:27">
      <c r="A54" s="49" t="s">
        <v>80</v>
      </c>
      <c r="B54" s="79" t="s">
        <v>109</v>
      </c>
      <c r="C54" s="64">
        <v>25</v>
      </c>
      <c r="D54" s="64">
        <v>24</v>
      </c>
      <c r="E54" s="64">
        <v>23</v>
      </c>
      <c r="F54" s="64">
        <v>22</v>
      </c>
      <c r="G54" s="64">
        <v>21</v>
      </c>
      <c r="H54" s="64">
        <v>20</v>
      </c>
      <c r="I54" s="64">
        <v>19</v>
      </c>
      <c r="J54" s="64">
        <v>18</v>
      </c>
      <c r="K54" s="64">
        <v>17</v>
      </c>
      <c r="L54" s="64">
        <v>16</v>
      </c>
      <c r="M54" s="64">
        <v>15</v>
      </c>
      <c r="N54" s="64">
        <v>14</v>
      </c>
      <c r="O54" s="64">
        <v>13</v>
      </c>
      <c r="P54" s="64">
        <v>12</v>
      </c>
      <c r="Q54" s="64">
        <v>11</v>
      </c>
      <c r="R54" s="64">
        <v>10</v>
      </c>
      <c r="S54" s="64">
        <v>9</v>
      </c>
      <c r="T54" s="64">
        <v>8</v>
      </c>
      <c r="U54" s="64">
        <v>7</v>
      </c>
      <c r="V54" s="64">
        <v>6</v>
      </c>
      <c r="W54" s="64">
        <v>5</v>
      </c>
      <c r="X54" s="64">
        <v>4</v>
      </c>
      <c r="Y54" s="64">
        <v>3</v>
      </c>
      <c r="Z54" s="64">
        <v>2</v>
      </c>
      <c r="AA54" s="64">
        <v>1</v>
      </c>
    </row>
    <row r="55" spans="1:27">
      <c r="B55" s="80" t="s">
        <v>110</v>
      </c>
      <c r="C55" s="81">
        <v>0.11700000000000001</v>
      </c>
      <c r="D55" s="81">
        <v>0.17499999999999999</v>
      </c>
      <c r="E55" s="81">
        <v>0.23499999999999999</v>
      </c>
      <c r="F55" s="81">
        <v>0.29799999999999999</v>
      </c>
      <c r="G55" s="81">
        <v>0.36499999999999999</v>
      </c>
      <c r="H55" s="81">
        <v>0.438</v>
      </c>
      <c r="I55" s="81">
        <v>0.501</v>
      </c>
      <c r="J55" s="81">
        <v>0.56000000000000005</v>
      </c>
      <c r="K55" s="81">
        <v>0.61699999999999999</v>
      </c>
      <c r="L55" s="81">
        <v>0.67300000000000004</v>
      </c>
      <c r="M55" s="81">
        <v>0.72899999999999998</v>
      </c>
      <c r="N55" s="81">
        <v>0.78700000000000003</v>
      </c>
      <c r="O55" s="81">
        <v>0.82699999999999996</v>
      </c>
      <c r="P55" s="81">
        <v>0.872</v>
      </c>
      <c r="Q55" s="81">
        <v>0.91800000000000004</v>
      </c>
      <c r="R55" s="81">
        <v>0.96399999999999997</v>
      </c>
      <c r="S55" s="81">
        <v>1.012</v>
      </c>
      <c r="T55" s="81">
        <v>1.0620000000000001</v>
      </c>
      <c r="U55" s="81">
        <v>1.115</v>
      </c>
      <c r="V55" s="81">
        <v>1.171</v>
      </c>
      <c r="W55" s="81">
        <v>1.2330000000000001</v>
      </c>
      <c r="X55" s="81">
        <v>1.3</v>
      </c>
      <c r="Y55" s="81">
        <v>1.3759999999999999</v>
      </c>
      <c r="Z55" s="82">
        <v>1.462</v>
      </c>
      <c r="AA55" s="82">
        <v>1.5609999999999999</v>
      </c>
    </row>
    <row r="56" spans="1:27">
      <c r="B56" s="49" t="s">
        <v>19</v>
      </c>
      <c r="C56" s="83">
        <v>17.5</v>
      </c>
      <c r="D56" s="83">
        <v>16.38</v>
      </c>
      <c r="E56" s="83">
        <v>15.52</v>
      </c>
      <c r="F56" s="83">
        <v>14.85</v>
      </c>
      <c r="G56" s="83">
        <v>14.3</v>
      </c>
      <c r="H56" s="83">
        <v>13.93</v>
      </c>
      <c r="I56" s="83">
        <v>13.6</v>
      </c>
      <c r="J56" s="83">
        <v>13.28</v>
      </c>
      <c r="K56" s="83">
        <v>12.97</v>
      </c>
      <c r="L56" s="83">
        <v>12.67</v>
      </c>
      <c r="M56" s="83">
        <v>12.4</v>
      </c>
      <c r="N56" s="83">
        <v>12.13</v>
      </c>
      <c r="O56" s="83">
        <v>11.87</v>
      </c>
      <c r="P56" s="83">
        <v>11.56</v>
      </c>
      <c r="Q56" s="83">
        <v>11.23</v>
      </c>
      <c r="R56" s="83">
        <v>10.9</v>
      </c>
      <c r="S56" s="83">
        <v>10.56</v>
      </c>
      <c r="T56" s="83">
        <v>10.220000000000001</v>
      </c>
      <c r="U56" s="83">
        <v>9.86</v>
      </c>
      <c r="V56" s="83">
        <v>9.5</v>
      </c>
      <c r="W56" s="83">
        <v>9.1300000000000008</v>
      </c>
      <c r="X56" s="83">
        <v>8.76</v>
      </c>
      <c r="Y56" s="83">
        <v>8.3699999999999992</v>
      </c>
      <c r="Z56" s="83">
        <v>7.9640000000000004</v>
      </c>
      <c r="AA56" s="83">
        <v>7.548</v>
      </c>
    </row>
    <row r="57" spans="1:27">
      <c r="B57" s="49" t="s">
        <v>20</v>
      </c>
      <c r="C57" s="83">
        <v>13.58</v>
      </c>
      <c r="D57" s="83">
        <v>12.66</v>
      </c>
      <c r="E57" s="83">
        <v>11.97</v>
      </c>
      <c r="F57" s="83">
        <v>11.44</v>
      </c>
      <c r="G57" s="83">
        <v>11.01</v>
      </c>
      <c r="H57" s="83">
        <v>10.73</v>
      </c>
      <c r="I57" s="83">
        <v>10.48</v>
      </c>
      <c r="J57" s="83">
        <v>10.23</v>
      </c>
      <c r="K57" s="83">
        <v>10</v>
      </c>
      <c r="L57" s="83">
        <v>9.7899999999999991</v>
      </c>
      <c r="M57" s="83">
        <v>9.56</v>
      </c>
      <c r="N57" s="83">
        <v>9.3699999999999992</v>
      </c>
      <c r="O57" s="83">
        <v>9.17</v>
      </c>
      <c r="P57" s="83">
        <v>8.92</v>
      </c>
      <c r="Q57" s="83">
        <v>8.67</v>
      </c>
      <c r="R57" s="83">
        <v>8.42</v>
      </c>
      <c r="S57" s="83">
        <v>8.1590000000000007</v>
      </c>
      <c r="T57" s="83">
        <v>7.8929999999999998</v>
      </c>
      <c r="U57" s="83">
        <v>7.62</v>
      </c>
      <c r="V57" s="83">
        <v>7.3390000000000004</v>
      </c>
      <c r="W57" s="83">
        <v>7.0510000000000002</v>
      </c>
      <c r="X57" s="83">
        <v>6.7539999999999996</v>
      </c>
      <c r="Y57" s="83">
        <v>6.4480000000000004</v>
      </c>
      <c r="Z57" s="83">
        <v>6.13</v>
      </c>
      <c r="AA57" s="83">
        <v>5.8</v>
      </c>
    </row>
    <row r="58" spans="1:27">
      <c r="B58" s="49" t="s">
        <v>21</v>
      </c>
      <c r="C58" s="83">
        <v>10.17</v>
      </c>
      <c r="D58" s="83">
        <v>9.4600000000000009</v>
      </c>
      <c r="E58" s="83">
        <v>8.94</v>
      </c>
      <c r="F58" s="83">
        <v>8.5399999999999991</v>
      </c>
      <c r="G58" s="83">
        <v>8.2200000000000006</v>
      </c>
      <c r="H58" s="83">
        <v>8.01</v>
      </c>
      <c r="I58" s="83">
        <v>7.83</v>
      </c>
      <c r="J58" s="83">
        <v>7.65</v>
      </c>
      <c r="K58" s="83">
        <v>7.48</v>
      </c>
      <c r="L58" s="83">
        <v>7.32</v>
      </c>
      <c r="M58" s="83">
        <v>7.16</v>
      </c>
      <c r="N58" s="83">
        <v>7.02</v>
      </c>
      <c r="O58" s="83">
        <v>6.88</v>
      </c>
      <c r="P58" s="83">
        <v>6.7</v>
      </c>
      <c r="Q58" s="83">
        <v>6.52</v>
      </c>
      <c r="R58" s="83">
        <v>6.33</v>
      </c>
      <c r="S58" s="83">
        <v>6.14</v>
      </c>
      <c r="T58" s="83">
        <v>5.95</v>
      </c>
      <c r="U58" s="83">
        <v>5.75</v>
      </c>
      <c r="V58" s="83">
        <v>5.54</v>
      </c>
      <c r="W58" s="83">
        <v>5.33</v>
      </c>
      <c r="X58" s="83">
        <v>5.1100000000000003</v>
      </c>
      <c r="Y58" s="83">
        <v>4.88</v>
      </c>
      <c r="Z58" s="83">
        <v>4.6399999999999997</v>
      </c>
      <c r="AA58" s="83">
        <v>4.391</v>
      </c>
    </row>
    <row r="59" spans="1:27">
      <c r="B59" s="49" t="s">
        <v>22</v>
      </c>
      <c r="C59" s="83">
        <v>7.45</v>
      </c>
      <c r="D59" s="83">
        <v>6.91</v>
      </c>
      <c r="E59" s="83">
        <v>6.52</v>
      </c>
      <c r="F59" s="83">
        <v>6.22</v>
      </c>
      <c r="G59" s="83">
        <v>5.99</v>
      </c>
      <c r="H59" s="83">
        <v>5.84</v>
      </c>
      <c r="I59" s="83">
        <v>5.7</v>
      </c>
      <c r="J59" s="83">
        <v>5.57</v>
      </c>
      <c r="K59" s="83">
        <v>5.44</v>
      </c>
      <c r="L59" s="83">
        <v>5.33</v>
      </c>
      <c r="M59" s="83">
        <v>5.21</v>
      </c>
      <c r="N59" s="83">
        <v>5.1100000000000003</v>
      </c>
      <c r="O59" s="83">
        <v>5</v>
      </c>
      <c r="P59" s="83">
        <v>4.88</v>
      </c>
      <c r="Q59" s="83">
        <v>4.74</v>
      </c>
      <c r="R59" s="83">
        <v>4.6100000000000003</v>
      </c>
      <c r="S59" s="83">
        <v>4.47</v>
      </c>
      <c r="T59" s="83">
        <v>4.33</v>
      </c>
      <c r="U59" s="83">
        <v>4.1900000000000004</v>
      </c>
      <c r="V59" s="83">
        <v>4.04</v>
      </c>
      <c r="W59" s="83">
        <v>3.89</v>
      </c>
      <c r="X59" s="83">
        <v>3.73</v>
      </c>
      <c r="Y59" s="83">
        <v>3.57</v>
      </c>
      <c r="Z59" s="83">
        <v>3.3980000000000001</v>
      </c>
      <c r="AA59" s="83">
        <v>3.222</v>
      </c>
    </row>
    <row r="60" spans="1:27">
      <c r="B60" s="49" t="s">
        <v>23</v>
      </c>
      <c r="C60" s="83">
        <v>5.24</v>
      </c>
      <c r="D60" s="83">
        <v>4.8600000000000003</v>
      </c>
      <c r="E60" s="83">
        <v>4.59</v>
      </c>
      <c r="F60" s="83">
        <v>4.38</v>
      </c>
      <c r="G60" s="83">
        <v>4.21</v>
      </c>
      <c r="H60" s="83">
        <v>4.1100000000000003</v>
      </c>
      <c r="I60" s="83">
        <v>4.01</v>
      </c>
      <c r="J60" s="83">
        <v>3.92</v>
      </c>
      <c r="K60" s="83">
        <v>3.92</v>
      </c>
      <c r="L60" s="83">
        <v>3.75</v>
      </c>
      <c r="M60" s="83">
        <v>3.67</v>
      </c>
      <c r="N60" s="83">
        <v>3.6</v>
      </c>
      <c r="O60" s="83">
        <v>3.53</v>
      </c>
      <c r="P60" s="83">
        <v>3.44</v>
      </c>
      <c r="Q60" s="83">
        <v>3.35</v>
      </c>
      <c r="R60" s="83">
        <v>3.26</v>
      </c>
      <c r="S60" s="83">
        <v>3.16</v>
      </c>
      <c r="T60" s="83">
        <v>3.07</v>
      </c>
      <c r="U60" s="83">
        <v>2.97</v>
      </c>
      <c r="V60" s="83">
        <v>2.87</v>
      </c>
      <c r="W60" s="83">
        <v>2.76</v>
      </c>
      <c r="X60" s="83">
        <v>2.65</v>
      </c>
      <c r="Y60" s="83">
        <v>2.54</v>
      </c>
      <c r="Z60" s="83">
        <v>2.4289999999999998</v>
      </c>
      <c r="AA60" s="83">
        <v>2.3090000000000002</v>
      </c>
    </row>
    <row r="61" spans="1:27">
      <c r="C61" s="49">
        <v>1</v>
      </c>
      <c r="D61" s="49">
        <v>2</v>
      </c>
      <c r="E61" s="49">
        <v>3</v>
      </c>
      <c r="F61" s="49">
        <v>4</v>
      </c>
      <c r="G61" s="49">
        <v>5</v>
      </c>
      <c r="H61" s="49">
        <v>6</v>
      </c>
      <c r="I61" s="49">
        <v>7</v>
      </c>
      <c r="J61" s="49">
        <v>8</v>
      </c>
      <c r="K61" s="49">
        <v>9</v>
      </c>
      <c r="L61" s="49">
        <v>10</v>
      </c>
      <c r="M61" s="49">
        <v>11</v>
      </c>
      <c r="N61" s="49">
        <v>12</v>
      </c>
      <c r="O61" s="49">
        <v>13</v>
      </c>
      <c r="P61" s="49">
        <v>14</v>
      </c>
      <c r="Q61" s="49">
        <v>15</v>
      </c>
      <c r="R61" s="49">
        <v>16</v>
      </c>
      <c r="S61" s="49">
        <v>17</v>
      </c>
      <c r="T61" s="49">
        <v>18</v>
      </c>
      <c r="U61" s="49">
        <v>19</v>
      </c>
      <c r="V61" s="49">
        <v>20</v>
      </c>
      <c r="W61" s="49">
        <v>21</v>
      </c>
      <c r="X61" s="49">
        <v>22</v>
      </c>
      <c r="Y61" s="49">
        <v>23</v>
      </c>
      <c r="Z61" s="49">
        <v>24</v>
      </c>
      <c r="AA61" s="49">
        <v>25</v>
      </c>
    </row>
  </sheetData>
  <protectedRanges>
    <protectedRange sqref="E3" name="Range2"/>
    <protectedRange sqref="L2:L3" name="Range1"/>
  </protectedRanges>
  <phoneticPr fontId="36" type="noConversion"/>
  <dataValidations disablePrompts="1" count="1">
    <dataValidation type="list" allowBlank="1" showInputMessage="1" showErrorMessage="1" sqref="E3">
      <formula1>"是,否"</formula1>
    </dataValidation>
  </dataValidation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16" zoomScale="90" zoomScaleNormal="90" workbookViewId="0">
      <selection activeCell="R11" sqref="R11"/>
    </sheetView>
  </sheetViews>
  <sheetFormatPr defaultRowHeight="13.2"/>
  <sheetData/>
  <sheetProtection selectLockedCells="1" selectUnlockedCells="1"/>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Life expectancies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2018-07-19T08:05:36Z</dcterms:modified>
</cp:coreProperties>
</file>