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codeName="ThisWorkbook" defaultThemeVersion="124226"/>
  <mc:AlternateContent xmlns:mc="http://schemas.openxmlformats.org/markup-compatibility/2006">
    <mc:Choice Requires="x15">
      <x15ac:absPath xmlns:x15ac="http://schemas.microsoft.com/office/spreadsheetml/2010/11/ac" url="D:\GU\ShanghaiU\IUSSP\00_Chinese\2015\Final\_Chinese_Online\"/>
    </mc:Choice>
  </mc:AlternateContent>
  <xr:revisionPtr revIDLastSave="0" documentId="13_ncr:1_{BF17F1D3-C016-42C7-88D7-875BDADA4B6E}" xr6:coauthVersionLast="47" xr6:coauthVersionMax="47" xr10:uidLastSave="{00000000-0000-0000-0000-000000000000}"/>
  <bookViews>
    <workbookView xWindow="-108" yWindow="-108" windowWidth="23256" windowHeight="12252" xr2:uid="{00000000-000D-0000-FFFF-FFFF00000000}"/>
  </bookViews>
  <sheets>
    <sheet name="Introduction" sheetId="7" r:id="rId1"/>
    <sheet name="Model data" sheetId="8" r:id="rId2"/>
    <sheet name="Maternal orphanhood" sheetId="1" r:id="rId3"/>
    <sheet name="Paternal orphanhood" sheetId="5" r:id="rId4"/>
    <sheet name="Charts" sheetId="6" r:id="rId5"/>
  </sheets>
  <externalReferences>
    <externalReference r:id="rId6"/>
  </externalReferences>
  <definedNames>
    <definedName name="__123Graph_A" hidden="1">'Maternal orphanhood'!$H$35:$H$39</definedName>
    <definedName name="__123Graph_A1" hidden="1">'Maternal orphanhood'!$H$35:$H$39</definedName>
    <definedName name="__123Graph_X" hidden="1">'Maternal orphanhood'!$K$35:$K$39</definedName>
    <definedName name="__123Graph_X1" hidden="1">'Maternal orphanhood'!$K$35:$K$39</definedName>
    <definedName name="_Regression_Int" localSheetId="2" hidden="1">0</definedName>
    <definedName name="Date_of_survey" localSheetId="0">'[1]Maternal orphanhood'!$R$1</definedName>
    <definedName name="Date_of_survey">'Maternal orphanhood'!$T$1</definedName>
    <definedName name="M_MBAR">#REF!</definedName>
    <definedName name="MBAR" localSheetId="0">'[1]Maternal orphanhood'!$D$29</definedName>
    <definedName name="MBAR">'Maternal orphanhood'!$G$1</definedName>
    <definedName name="MBAR_m" localSheetId="0">'[1]Paternal orphanhood'!$C$17</definedName>
    <definedName name="MBAR_m">'Paternal orphanhood'!$AE$10</definedName>
    <definedName name="mbar2">#REF!</definedName>
    <definedName name="Model_LTs">'Model data'!$B$2:$G$2</definedName>
    <definedName name="SDAT">'Maternal orphanhood'!#REF!</definedName>
    <definedName name="SMAM">'Maternal orphanhood'!$M$1</definedName>
    <definedName name="TABLE" localSheetId="2">'Maternal orphanhood'!$G$46:$K$66</definedName>
    <definedName name="TABLE_2" localSheetId="2">'Maternal orphanhood'!$G$46:$K$66</definedName>
    <definedName name="TABLE_3" localSheetId="2">'Maternal orphanhood'!$G$46:$K$66</definedName>
    <definedName name="TABLE_4" localSheetId="2">'Maternal orphanhood'!$G$46:$K$66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2" i="5" l="1"/>
  <c r="D62" i="5"/>
  <c r="B21" i="8" l="1"/>
  <c r="G1" i="1" l="1"/>
  <c r="J18" i="5" l="1"/>
  <c r="N25" i="1"/>
  <c r="E23" i="5" l="1"/>
  <c r="R40" i="1"/>
  <c r="E21" i="1"/>
  <c r="G25" i="1"/>
  <c r="B38" i="8"/>
  <c r="C38" i="8" s="1"/>
  <c r="D38" i="8" s="1"/>
  <c r="B37" i="8"/>
  <c r="C37" i="8" s="1"/>
  <c r="D37" i="8" s="1"/>
  <c r="B36" i="8"/>
  <c r="C36" i="8" s="1"/>
  <c r="D36" i="8" s="1"/>
  <c r="H25" i="1" s="1"/>
  <c r="B35" i="8"/>
  <c r="C35" i="8" s="1"/>
  <c r="D35" i="8" s="1"/>
  <c r="H24" i="1" s="1"/>
  <c r="B34" i="8"/>
  <c r="C34" i="8" s="1"/>
  <c r="D34" i="8" s="1"/>
  <c r="H23" i="1" s="1"/>
  <c r="B33" i="8"/>
  <c r="C33" i="8" s="1"/>
  <c r="D33" i="8" s="1"/>
  <c r="H22" i="1" s="1"/>
  <c r="B32" i="8"/>
  <c r="C32" i="8" s="1"/>
  <c r="D32" i="8" s="1"/>
  <c r="H10" i="1" s="1"/>
  <c r="B31" i="8"/>
  <c r="C31" i="8" s="1"/>
  <c r="D31" i="8" s="1"/>
  <c r="H9" i="1" s="1"/>
  <c r="B30" i="8"/>
  <c r="C30" i="8" s="1"/>
  <c r="D30" i="8" s="1"/>
  <c r="H37" i="1" s="1"/>
  <c r="B29" i="8"/>
  <c r="C29" i="8" s="1"/>
  <c r="D29" i="8" s="1"/>
  <c r="H7" i="1" s="1"/>
  <c r="B28" i="8"/>
  <c r="C28" i="8" s="1"/>
  <c r="D28" i="8" s="1"/>
  <c r="H6" i="1" s="1"/>
  <c r="B27" i="8"/>
  <c r="C27" i="8" s="1"/>
  <c r="D27" i="8" s="1"/>
  <c r="B26" i="8"/>
  <c r="C26" i="8" s="1"/>
  <c r="D26" i="8" s="1"/>
  <c r="B25" i="8"/>
  <c r="C25" i="8" s="1"/>
  <c r="D25" i="8" s="1"/>
  <c r="A25" i="8"/>
  <c r="A26" i="8" s="1"/>
  <c r="A27" i="8" s="1"/>
  <c r="A28" i="8" s="1"/>
  <c r="A29" i="8" s="1"/>
  <c r="A30" i="8" s="1"/>
  <c r="A31" i="8" s="1"/>
  <c r="A32" i="8" s="1"/>
  <c r="A33" i="8" s="1"/>
  <c r="A34" i="8" s="1"/>
  <c r="A35" i="8" s="1"/>
  <c r="A36" i="8" s="1"/>
  <c r="A37" i="8" s="1"/>
  <c r="A38" i="8" s="1"/>
  <c r="B24" i="8"/>
  <c r="C24" i="8" s="1"/>
  <c r="D24" i="8" s="1"/>
  <c r="E21" i="5"/>
  <c r="E22" i="5"/>
  <c r="E20" i="5"/>
  <c r="E25" i="1"/>
  <c r="E22" i="1"/>
  <c r="E23" i="1"/>
  <c r="E24" i="1"/>
  <c r="C62" i="5"/>
  <c r="B62" i="5"/>
  <c r="B54" i="1"/>
  <c r="C47" i="1"/>
  <c r="D47" i="1" s="1"/>
  <c r="J30" i="5"/>
  <c r="J4" i="5"/>
  <c r="J33" i="1"/>
  <c r="J19" i="1"/>
  <c r="J4" i="1"/>
  <c r="G1" i="5"/>
  <c r="K1" i="5"/>
  <c r="K1" i="1"/>
  <c r="T1" i="1" s="1"/>
  <c r="D56" i="5" l="1"/>
  <c r="D57" i="5"/>
  <c r="D54" i="5"/>
  <c r="D47" i="5"/>
  <c r="T15" i="5"/>
  <c r="T27" i="5"/>
  <c r="T30" i="1"/>
  <c r="T16" i="1"/>
  <c r="E55" i="5"/>
  <c r="D48" i="5"/>
  <c r="E49" i="5"/>
  <c r="E51" i="5"/>
  <c r="E50" i="5"/>
  <c r="E60" i="5"/>
  <c r="E56" i="5"/>
  <c r="E58" i="5"/>
  <c r="E52" i="5"/>
  <c r="E47" i="5"/>
  <c r="E59" i="5"/>
  <c r="E54" i="5"/>
  <c r="E48" i="5"/>
  <c r="C48" i="1"/>
  <c r="H13" i="1"/>
  <c r="H12" i="1"/>
  <c r="H8" i="1"/>
  <c r="H21" i="1"/>
  <c r="H35" i="1"/>
  <c r="H38" i="1"/>
  <c r="H36" i="1"/>
  <c r="H14" i="1"/>
  <c r="H11" i="1"/>
  <c r="H39" i="1"/>
  <c r="I25" i="1"/>
  <c r="J25" i="1" s="1"/>
  <c r="D61" i="5"/>
  <c r="D53" i="5"/>
  <c r="D49" i="5"/>
  <c r="D58" i="5"/>
  <c r="D50" i="5"/>
  <c r="D59" i="5"/>
  <c r="D55" i="5"/>
  <c r="D51" i="5"/>
  <c r="E61" i="5"/>
  <c r="E57" i="5"/>
  <c r="E53" i="5"/>
  <c r="D60" i="5"/>
  <c r="D52" i="5"/>
  <c r="C49" i="1" l="1"/>
  <c r="D48" i="1"/>
  <c r="C41" i="5" l="1"/>
  <c r="C50" i="1"/>
  <c r="D49" i="1"/>
  <c r="D50" i="1" l="1"/>
  <c r="C51" i="1"/>
  <c r="C52" i="1" l="1"/>
  <c r="D51" i="1"/>
  <c r="C53" i="1" l="1"/>
  <c r="D53" i="1" s="1"/>
  <c r="D52" i="1"/>
  <c r="T1" i="5"/>
  <c r="H6" i="5"/>
  <c r="H34" i="5"/>
  <c r="H20" i="5"/>
  <c r="H21" i="5"/>
  <c r="H12" i="5"/>
  <c r="H9" i="5"/>
  <c r="D54" i="1" l="1"/>
  <c r="C56" i="1" s="1"/>
  <c r="C40" i="5" s="1"/>
  <c r="C42" i="5" s="1"/>
  <c r="H7" i="5"/>
  <c r="H11" i="5"/>
  <c r="H22" i="5"/>
  <c r="H32" i="5"/>
  <c r="H35" i="5"/>
  <c r="H33" i="5"/>
  <c r="H10" i="5"/>
  <c r="H8" i="5"/>
  <c r="H36" i="5"/>
  <c r="E7" i="1" l="1"/>
  <c r="E11" i="1"/>
  <c r="E6" i="1"/>
  <c r="E13" i="1"/>
  <c r="E10" i="1"/>
  <c r="E14" i="1"/>
  <c r="P25" i="1" s="1"/>
  <c r="E9" i="1"/>
  <c r="E8" i="1"/>
  <c r="E12" i="1"/>
  <c r="O25" i="1"/>
  <c r="V6" i="1"/>
  <c r="V7" i="1" s="1"/>
  <c r="V8" i="1" s="1"/>
  <c r="V9" i="1" s="1"/>
  <c r="V10" i="1" s="1"/>
  <c r="V11" i="1" s="1"/>
  <c r="V12" i="1" s="1"/>
  <c r="V13" i="1" s="1"/>
  <c r="V14" i="1" s="1"/>
  <c r="E11" i="5" l="1"/>
  <c r="E10" i="5"/>
  <c r="E8" i="5"/>
  <c r="E13" i="5"/>
  <c r="E9" i="5"/>
  <c r="E12" i="5"/>
  <c r="E6" i="5"/>
  <c r="G6" i="5" s="1"/>
  <c r="E7" i="5"/>
  <c r="R36" i="5"/>
  <c r="O36" i="5"/>
  <c r="R35" i="5"/>
  <c r="O35" i="5"/>
  <c r="R34" i="5"/>
  <c r="O34" i="5"/>
  <c r="R33" i="5"/>
  <c r="O33" i="5"/>
  <c r="R32" i="5"/>
  <c r="O32" i="5"/>
  <c r="O22" i="5"/>
  <c r="O21" i="5"/>
  <c r="O20" i="5"/>
  <c r="V6" i="5"/>
  <c r="V7" i="5" s="1"/>
  <c r="V8" i="5" s="1"/>
  <c r="V9" i="5" s="1"/>
  <c r="V10" i="5" s="1"/>
  <c r="V11" i="5" s="1"/>
  <c r="V12" i="5" s="1"/>
  <c r="V13" i="5" s="1"/>
  <c r="O12" i="5"/>
  <c r="O11" i="5"/>
  <c r="O10" i="5"/>
  <c r="O9" i="5"/>
  <c r="O8" i="5"/>
  <c r="N7" i="5"/>
  <c r="N8" i="5" s="1"/>
  <c r="O7" i="5"/>
  <c r="R6" i="5"/>
  <c r="O6" i="5"/>
  <c r="O22" i="1"/>
  <c r="O23" i="1"/>
  <c r="O24" i="1"/>
  <c r="O21" i="1"/>
  <c r="R25" i="1"/>
  <c r="R39" i="1"/>
  <c r="R36" i="1"/>
  <c r="R37" i="1"/>
  <c r="R38" i="1"/>
  <c r="R35" i="1"/>
  <c r="O36" i="1"/>
  <c r="O37" i="1"/>
  <c r="O38" i="1"/>
  <c r="O39" i="1"/>
  <c r="O35" i="1"/>
  <c r="G7" i="1"/>
  <c r="I7" i="1" s="1"/>
  <c r="J7" i="1" s="1"/>
  <c r="G8" i="1"/>
  <c r="I8" i="1" s="1"/>
  <c r="J8" i="1" s="1"/>
  <c r="G14" i="1"/>
  <c r="I14" i="1" s="1"/>
  <c r="J14" i="1" s="1"/>
  <c r="O9" i="1"/>
  <c r="O10" i="1"/>
  <c r="O11" i="1"/>
  <c r="O12" i="1"/>
  <c r="O13" i="1"/>
  <c r="O14" i="1"/>
  <c r="O8" i="1"/>
  <c r="O7" i="1"/>
  <c r="G6" i="1"/>
  <c r="I6" i="1" s="1"/>
  <c r="J6" i="1" s="1"/>
  <c r="O6" i="1"/>
  <c r="N6" i="1"/>
  <c r="R6" i="1" s="1"/>
  <c r="Y21" i="1"/>
  <c r="Z21" i="1"/>
  <c r="Y22" i="1"/>
  <c r="Z22" i="1"/>
  <c r="W23" i="1"/>
  <c r="Y23" i="1"/>
  <c r="W24" i="1"/>
  <c r="Y24" i="1"/>
  <c r="W25" i="1"/>
  <c r="Y25" i="1"/>
  <c r="W35" i="1"/>
  <c r="Z35" i="1"/>
  <c r="W36" i="1"/>
  <c r="Z36" i="1"/>
  <c r="W37" i="1"/>
  <c r="Z37" i="1"/>
  <c r="W38" i="1"/>
  <c r="Z38" i="1"/>
  <c r="W39" i="1"/>
  <c r="Z39" i="1"/>
  <c r="P6" i="5" l="1"/>
  <c r="Q6" i="5" s="1"/>
  <c r="S6" i="5" s="1"/>
  <c r="T6" i="5" s="1"/>
  <c r="K6" i="5" s="1"/>
  <c r="G21" i="5"/>
  <c r="I21" i="5" s="1"/>
  <c r="J21" i="5" s="1"/>
  <c r="G11" i="5"/>
  <c r="G33" i="5"/>
  <c r="G34" i="5"/>
  <c r="G22" i="5"/>
  <c r="G20" i="5"/>
  <c r="G32" i="5"/>
  <c r="I32" i="5" s="1"/>
  <c r="J32" i="5" s="1"/>
  <c r="G36" i="5"/>
  <c r="G35" i="5"/>
  <c r="I35" i="5" s="1"/>
  <c r="J35" i="5" s="1"/>
  <c r="G38" i="1"/>
  <c r="I38" i="1" s="1"/>
  <c r="J38" i="1" s="1"/>
  <c r="G36" i="1"/>
  <c r="I36" i="1" s="1"/>
  <c r="J36" i="1" s="1"/>
  <c r="G23" i="1"/>
  <c r="I23" i="1" s="1"/>
  <c r="J23" i="1" s="1"/>
  <c r="G21" i="1"/>
  <c r="I21" i="1" s="1"/>
  <c r="J21" i="1" s="1"/>
  <c r="G39" i="1"/>
  <c r="I39" i="1" s="1"/>
  <c r="J39" i="1" s="1"/>
  <c r="G37" i="1"/>
  <c r="I37" i="1" s="1"/>
  <c r="J37" i="1" s="1"/>
  <c r="G35" i="1"/>
  <c r="I35" i="1" s="1"/>
  <c r="J35" i="1" s="1"/>
  <c r="G24" i="1"/>
  <c r="I24" i="1" s="1"/>
  <c r="J24" i="1" s="1"/>
  <c r="G22" i="1"/>
  <c r="I22" i="1" s="1"/>
  <c r="J22" i="1" s="1"/>
  <c r="G9" i="1"/>
  <c r="I9" i="1" s="1"/>
  <c r="J9" i="1" s="1"/>
  <c r="P36" i="1"/>
  <c r="Q36" i="1" s="1"/>
  <c r="S36" i="1" s="1"/>
  <c r="T36" i="1" s="1"/>
  <c r="K36" i="1" s="1"/>
  <c r="G7" i="5"/>
  <c r="I7" i="5" s="1"/>
  <c r="J7" i="5" s="1"/>
  <c r="P35" i="1"/>
  <c r="Q35" i="1" s="1"/>
  <c r="S35" i="1" s="1"/>
  <c r="T35" i="1" s="1"/>
  <c r="K35" i="1" s="1"/>
  <c r="G8" i="5"/>
  <c r="I8" i="5" s="1"/>
  <c r="J8" i="5" s="1"/>
  <c r="P37" i="1"/>
  <c r="Q37" i="1" s="1"/>
  <c r="S37" i="1" s="1"/>
  <c r="T37" i="1" s="1"/>
  <c r="K37" i="1" s="1"/>
  <c r="G12" i="1"/>
  <c r="I12" i="1" s="1"/>
  <c r="J12" i="1" s="1"/>
  <c r="P39" i="1"/>
  <c r="Q39" i="1" s="1"/>
  <c r="S39" i="1" s="1"/>
  <c r="T39" i="1" s="1"/>
  <c r="K39" i="1" s="1"/>
  <c r="Q25" i="1"/>
  <c r="S25" i="1" s="1"/>
  <c r="T25" i="1" s="1"/>
  <c r="K25" i="1" s="1"/>
  <c r="G9" i="5"/>
  <c r="I9" i="5" s="1"/>
  <c r="J9" i="5" s="1"/>
  <c r="I6" i="5"/>
  <c r="J6" i="5" s="1"/>
  <c r="R8" i="5"/>
  <c r="N9" i="5"/>
  <c r="R7" i="5"/>
  <c r="P38" i="1"/>
  <c r="Q38" i="1" s="1"/>
  <c r="S38" i="1" s="1"/>
  <c r="T38" i="1" s="1"/>
  <c r="K38" i="1" s="1"/>
  <c r="P6" i="1"/>
  <c r="Q6" i="1" s="1"/>
  <c r="S6" i="1" s="1"/>
  <c r="G10" i="1"/>
  <c r="I10" i="1" s="1"/>
  <c r="J10" i="1" s="1"/>
  <c r="G11" i="1"/>
  <c r="I11" i="1" s="1"/>
  <c r="J11" i="1" s="1"/>
  <c r="G13" i="1"/>
  <c r="I13" i="1" s="1"/>
  <c r="J13" i="1" s="1"/>
  <c r="N7" i="1"/>
  <c r="P7" i="1" s="1"/>
  <c r="P7" i="5" l="1"/>
  <c r="Q7" i="5" s="1"/>
  <c r="S7" i="5" s="1"/>
  <c r="T7" i="5" s="1"/>
  <c r="K7" i="5" s="1"/>
  <c r="I33" i="5"/>
  <c r="J33" i="5" s="1"/>
  <c r="P32" i="5"/>
  <c r="Q32" i="5" s="1"/>
  <c r="S32" i="5" s="1"/>
  <c r="T32" i="5" s="1"/>
  <c r="K32" i="5" s="1"/>
  <c r="P9" i="5"/>
  <c r="Q9" i="5" s="1"/>
  <c r="G10" i="5"/>
  <c r="I10" i="5" s="1"/>
  <c r="J10" i="5" s="1"/>
  <c r="I20" i="5"/>
  <c r="J20" i="5" s="1"/>
  <c r="P33" i="5"/>
  <c r="Q33" i="5" s="1"/>
  <c r="S33" i="5" s="1"/>
  <c r="T33" i="5" s="1"/>
  <c r="K33" i="5" s="1"/>
  <c r="P8" i="5"/>
  <c r="Q8" i="5" s="1"/>
  <c r="S8" i="5" s="1"/>
  <c r="I22" i="5"/>
  <c r="J22" i="5" s="1"/>
  <c r="P34" i="5"/>
  <c r="Q34" i="5" s="1"/>
  <c r="S34" i="5" s="1"/>
  <c r="T34" i="5" s="1"/>
  <c r="K34" i="5" s="1"/>
  <c r="G12" i="5"/>
  <c r="I12" i="5" s="1"/>
  <c r="J12" i="5" s="1"/>
  <c r="I11" i="5"/>
  <c r="J11" i="5" s="1"/>
  <c r="I34" i="5"/>
  <c r="J34" i="5" s="1"/>
  <c r="P35" i="5"/>
  <c r="Q35" i="5" s="1"/>
  <c r="S35" i="5" s="1"/>
  <c r="T35" i="5" s="1"/>
  <c r="K35" i="5" s="1"/>
  <c r="I36" i="5"/>
  <c r="J36" i="5" s="1"/>
  <c r="P36" i="5"/>
  <c r="Q36" i="5" s="1"/>
  <c r="S36" i="5" s="1"/>
  <c r="T36" i="5" s="1"/>
  <c r="K36" i="5" s="1"/>
  <c r="N10" i="5"/>
  <c r="R9" i="5"/>
  <c r="T6" i="1"/>
  <c r="K6" i="1" s="1"/>
  <c r="Q7" i="1"/>
  <c r="R7" i="1"/>
  <c r="N8" i="1"/>
  <c r="P8" i="1" s="1"/>
  <c r="P10" i="5" l="1"/>
  <c r="Q10" i="5" s="1"/>
  <c r="P20" i="5"/>
  <c r="Q20" i="5" s="1"/>
  <c r="N20" i="5"/>
  <c r="R20" i="5" s="1"/>
  <c r="I24" i="5"/>
  <c r="J24" i="5" s="1"/>
  <c r="I25" i="5"/>
  <c r="J25" i="5" s="1"/>
  <c r="S9" i="5"/>
  <c r="T9" i="5" s="1"/>
  <c r="K9" i="5" s="1"/>
  <c r="T8" i="5"/>
  <c r="K8" i="5" s="1"/>
  <c r="R10" i="5"/>
  <c r="N11" i="5"/>
  <c r="S7" i="1"/>
  <c r="T7" i="1" s="1"/>
  <c r="Q8" i="1"/>
  <c r="N9" i="1"/>
  <c r="P9" i="1" s="1"/>
  <c r="R8" i="1"/>
  <c r="I28" i="1"/>
  <c r="J28" i="1" s="1"/>
  <c r="I27" i="1"/>
  <c r="J27" i="1" s="1"/>
  <c r="S20" i="5" l="1"/>
  <c r="T20" i="5" s="1"/>
  <c r="K20" i="5" s="1"/>
  <c r="P11" i="5"/>
  <c r="Q11" i="5" s="1"/>
  <c r="P21" i="5"/>
  <c r="Q21" i="5" s="1"/>
  <c r="N21" i="5"/>
  <c r="R21" i="5" s="1"/>
  <c r="N12" i="5"/>
  <c r="R11" i="5"/>
  <c r="S10" i="5"/>
  <c r="T10" i="5" s="1"/>
  <c r="K10" i="5" s="1"/>
  <c r="K7" i="1"/>
  <c r="N10" i="1"/>
  <c r="Q9" i="1"/>
  <c r="R9" i="1"/>
  <c r="S8" i="1"/>
  <c r="S21" i="5" l="1"/>
  <c r="T21" i="5" s="1"/>
  <c r="K21" i="5" s="1"/>
  <c r="K25" i="5" s="1"/>
  <c r="P12" i="5"/>
  <c r="Q12" i="5" s="1"/>
  <c r="P22" i="5"/>
  <c r="Q22" i="5" s="1"/>
  <c r="N22" i="5"/>
  <c r="R22" i="5" s="1"/>
  <c r="P10" i="1"/>
  <c r="Q10" i="1" s="1"/>
  <c r="R12" i="5"/>
  <c r="S11" i="5"/>
  <c r="T11" i="5" s="1"/>
  <c r="K11" i="5" s="1"/>
  <c r="T8" i="1"/>
  <c r="K8" i="1" s="1"/>
  <c r="R10" i="1"/>
  <c r="N11" i="1"/>
  <c r="N21" i="1" s="1"/>
  <c r="R21" i="1" s="1"/>
  <c r="S9" i="1"/>
  <c r="S22" i="5" l="1"/>
  <c r="T22" i="5" s="1"/>
  <c r="K22" i="5" s="1"/>
  <c r="K24" i="5" s="1"/>
  <c r="P21" i="1"/>
  <c r="Q21" i="1" s="1"/>
  <c r="S21" i="1" s="1"/>
  <c r="T21" i="1" s="1"/>
  <c r="K21" i="1" s="1"/>
  <c r="P11" i="1"/>
  <c r="Q11" i="1" s="1"/>
  <c r="S12" i="5"/>
  <c r="T12" i="5" s="1"/>
  <c r="K12" i="5" s="1"/>
  <c r="T9" i="1"/>
  <c r="K9" i="1" s="1"/>
  <c r="S10" i="1"/>
  <c r="T10" i="1" s="1"/>
  <c r="R11" i="1"/>
  <c r="N12" i="1"/>
  <c r="N22" i="1" s="1"/>
  <c r="R22" i="1" s="1"/>
  <c r="P22" i="1" l="1"/>
  <c r="Q22" i="1" s="1"/>
  <c r="S22" i="1" s="1"/>
  <c r="T22" i="1" s="1"/>
  <c r="K22" i="1" s="1"/>
  <c r="P12" i="1"/>
  <c r="Q12" i="1" s="1"/>
  <c r="K10" i="1"/>
  <c r="S11" i="1"/>
  <c r="T11" i="1" s="1"/>
  <c r="K11" i="1" s="1"/>
  <c r="N13" i="1"/>
  <c r="R12" i="1"/>
  <c r="P23" i="1" l="1"/>
  <c r="Q23" i="1" s="1"/>
  <c r="P13" i="1"/>
  <c r="Q13" i="1" s="1"/>
  <c r="N23" i="1"/>
  <c r="R23" i="1" s="1"/>
  <c r="S23" i="1" s="1"/>
  <c r="T23" i="1" s="1"/>
  <c r="K23" i="1" s="1"/>
  <c r="K28" i="1" s="1"/>
  <c r="N14" i="1"/>
  <c r="P14" i="1" s="1"/>
  <c r="R13" i="1"/>
  <c r="S12" i="1"/>
  <c r="T12" i="1" s="1"/>
  <c r="K12" i="1" s="1"/>
  <c r="P24" i="1" l="1"/>
  <c r="Q24" i="1" s="1"/>
  <c r="N24" i="1"/>
  <c r="R24" i="1" s="1"/>
  <c r="R14" i="1"/>
  <c r="Q14" i="1"/>
  <c r="S13" i="1"/>
  <c r="T13" i="1" s="1"/>
  <c r="K13" i="1" s="1"/>
  <c r="S24" i="1" l="1"/>
  <c r="T24" i="1" s="1"/>
  <c r="K24" i="1" s="1"/>
  <c r="K27" i="1" s="1"/>
  <c r="S14" i="1"/>
  <c r="T14" i="1" s="1"/>
  <c r="K1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Ian Timaeus</author>
  </authors>
  <commentList>
    <comment ref="G2" authorId="0" shapeId="0" xr:uid="{00000000-0006-0000-0100-000001000000}">
      <text>
        <r>
          <rPr>
            <sz val="9"/>
            <color indexed="81"/>
            <rFont val="Tahoma"/>
            <family val="2"/>
          </rPr>
          <t xml:space="preserve">想使用其他类别的标准生命表，请在 </t>
        </r>
        <r>
          <rPr>
            <b/>
            <i/>
            <sz val="9"/>
            <color indexed="81"/>
            <rFont val="Tahoma"/>
            <family val="2"/>
          </rPr>
          <t xml:space="preserve">Introduction </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Ian Timaeus</author>
  </authors>
  <commentList>
    <comment ref="V6" authorId="0" shapeId="0" xr:uid="{00000000-0006-0000-0300-000001000000}">
      <text>
        <r>
          <rPr>
            <sz val="9"/>
            <color indexed="81"/>
            <rFont val="Tahoma"/>
            <family val="2"/>
          </rPr>
          <t>注意：该估计公式为 l(35+n+5)/l(35) , 而不是 l(35+n)/l(35)。这里用的数据和公式与 提马亚斯(1992)使用的一样。但比用出版公式估算l(45)/l(35)所得到的效果更好。</t>
        </r>
      </text>
    </comment>
  </commentList>
</comments>
</file>

<file path=xl/sharedStrings.xml><?xml version="1.0" encoding="utf-8"?>
<sst xmlns="http://schemas.openxmlformats.org/spreadsheetml/2006/main" count="470" uniqueCount="165">
  <si>
    <t>15-19</t>
  </si>
  <si>
    <t>20-24</t>
  </si>
  <si>
    <t>25-29</t>
  </si>
  <si>
    <t>30-34</t>
  </si>
  <si>
    <t>35-39</t>
  </si>
  <si>
    <t>40-44</t>
  </si>
  <si>
    <t>45-49</t>
  </si>
  <si>
    <t>n</t>
  </si>
  <si>
    <t>50-54</t>
  </si>
  <si>
    <t>30-45</t>
  </si>
  <si>
    <t>30-40</t>
  </si>
  <si>
    <t xml:space="preserve"> 5- 9</t>
  </si>
  <si>
    <t>10-14</t>
  </si>
  <si>
    <t>N</t>
  </si>
  <si>
    <r>
      <rPr>
        <b/>
        <i/>
        <sz val="11"/>
        <rFont val="Arial Narrow"/>
        <family val="2"/>
      </rPr>
      <t>S</t>
    </r>
    <r>
      <rPr>
        <b/>
        <sz val="11"/>
        <rFont val="Arial Narrow"/>
        <family val="2"/>
      </rPr>
      <t>(</t>
    </r>
    <r>
      <rPr>
        <b/>
        <i/>
        <sz val="11"/>
        <rFont val="Arial Narrow"/>
        <family val="2"/>
      </rPr>
      <t>n</t>
    </r>
    <r>
      <rPr>
        <b/>
        <sz val="11"/>
        <rFont val="Arial Narrow"/>
        <family val="2"/>
      </rPr>
      <t>)</t>
    </r>
  </si>
  <si>
    <r>
      <rPr>
        <b/>
        <i/>
        <vertAlign val="subscript"/>
        <sz val="11"/>
        <rFont val="Arial Narrow"/>
        <family val="2"/>
      </rPr>
      <t>N</t>
    </r>
    <r>
      <rPr>
        <b/>
        <i/>
        <sz val="11"/>
        <rFont val="Arial Narrow"/>
        <family val="2"/>
      </rPr>
      <t>p</t>
    </r>
    <r>
      <rPr>
        <b/>
        <i/>
        <vertAlign val="subscript"/>
        <sz val="11"/>
        <rFont val="Arial Narrow"/>
        <family val="2"/>
      </rPr>
      <t>M</t>
    </r>
  </si>
  <si>
    <r>
      <rPr>
        <b/>
        <i/>
        <sz val="11"/>
        <rFont val="Arial Narrow"/>
        <family val="2"/>
      </rPr>
      <t>C</t>
    </r>
    <r>
      <rPr>
        <b/>
        <sz val="11"/>
        <rFont val="Arial Narrow"/>
        <family val="2"/>
      </rPr>
      <t>(</t>
    </r>
    <r>
      <rPr>
        <b/>
        <i/>
        <sz val="11"/>
        <rFont val="Arial Narrow"/>
        <family val="2"/>
      </rPr>
      <t>N</t>
    </r>
    <r>
      <rPr>
        <b/>
        <sz val="11"/>
        <rFont val="Arial Narrow"/>
        <family val="2"/>
      </rPr>
      <t>)</t>
    </r>
  </si>
  <si>
    <r>
      <rPr>
        <b/>
        <i/>
        <sz val="11"/>
        <rFont val="Arial Narrow"/>
        <family val="2"/>
      </rPr>
      <t>N</t>
    </r>
    <r>
      <rPr>
        <b/>
        <sz val="11"/>
        <rFont val="Arial Narrow"/>
        <family val="2"/>
      </rPr>
      <t>/2</t>
    </r>
  </si>
  <si>
    <t>T</t>
  </si>
  <si>
    <r>
      <rPr>
        <b/>
        <i/>
        <sz val="11"/>
        <rFont val="Arial Narrow"/>
        <family val="2"/>
      </rPr>
      <t>a</t>
    </r>
    <r>
      <rPr>
        <b/>
        <sz val="11"/>
        <rFont val="Arial Narrow"/>
        <family val="2"/>
      </rPr>
      <t>(</t>
    </r>
    <r>
      <rPr>
        <b/>
        <i/>
        <sz val="11"/>
        <rFont val="Arial Narrow"/>
        <family val="2"/>
      </rPr>
      <t>n</t>
    </r>
    <r>
      <rPr>
        <b/>
        <sz val="11"/>
        <rFont val="Arial Narrow"/>
        <family val="2"/>
      </rPr>
      <t>)</t>
    </r>
  </si>
  <si>
    <r>
      <rPr>
        <b/>
        <i/>
        <sz val="11"/>
        <rFont val="Arial Narrow"/>
        <family val="2"/>
      </rPr>
      <t>b</t>
    </r>
    <r>
      <rPr>
        <b/>
        <sz val="11"/>
        <rFont val="Arial Narrow"/>
        <family val="2"/>
      </rPr>
      <t>(</t>
    </r>
    <r>
      <rPr>
        <b/>
        <i/>
        <sz val="11"/>
        <rFont val="Arial Narrow"/>
        <family val="2"/>
      </rPr>
      <t>n</t>
    </r>
    <r>
      <rPr>
        <b/>
        <sz val="11"/>
        <rFont val="Arial Narrow"/>
        <family val="2"/>
      </rPr>
      <t>)</t>
    </r>
  </si>
  <si>
    <r>
      <rPr>
        <b/>
        <i/>
        <sz val="11"/>
        <rFont val="Arial Narrow"/>
        <family val="2"/>
      </rPr>
      <t>c</t>
    </r>
    <r>
      <rPr>
        <b/>
        <sz val="11"/>
        <rFont val="Arial Narrow"/>
        <family val="2"/>
      </rPr>
      <t>(</t>
    </r>
    <r>
      <rPr>
        <b/>
        <i/>
        <sz val="11"/>
        <rFont val="Arial Narrow"/>
        <family val="2"/>
      </rPr>
      <t>n</t>
    </r>
    <r>
      <rPr>
        <b/>
        <sz val="11"/>
        <rFont val="Arial Narrow"/>
        <family val="2"/>
      </rPr>
      <t>)</t>
    </r>
  </si>
  <si>
    <r>
      <rPr>
        <b/>
        <i/>
        <sz val="11"/>
        <rFont val="Arial Narrow"/>
        <family val="2"/>
      </rPr>
      <t>d</t>
    </r>
    <r>
      <rPr>
        <b/>
        <sz val="11"/>
        <rFont val="Arial Narrow"/>
        <family val="2"/>
      </rPr>
      <t>(</t>
    </r>
    <r>
      <rPr>
        <b/>
        <i/>
        <sz val="11"/>
        <rFont val="Arial Narrow"/>
        <family val="2"/>
      </rPr>
      <t>n</t>
    </r>
    <r>
      <rPr>
        <b/>
        <sz val="11"/>
        <rFont val="Arial Narrow"/>
        <family val="2"/>
      </rPr>
      <t>)</t>
    </r>
  </si>
  <si>
    <r>
      <rPr>
        <b/>
        <i/>
        <sz val="11"/>
        <rFont val="Arial Narrow"/>
        <family val="2"/>
      </rPr>
      <t>e</t>
    </r>
    <r>
      <rPr>
        <b/>
        <sz val="11"/>
        <rFont val="Arial Narrow"/>
        <family val="2"/>
      </rPr>
      <t>(</t>
    </r>
    <r>
      <rPr>
        <b/>
        <i/>
        <sz val="11"/>
        <rFont val="Arial Narrow"/>
        <family val="2"/>
      </rPr>
      <t>n</t>
    </r>
    <r>
      <rPr>
        <b/>
        <sz val="11"/>
        <rFont val="Arial Narrow"/>
        <family val="2"/>
      </rPr>
      <t>)</t>
    </r>
  </si>
  <si>
    <r>
      <rPr>
        <b/>
        <i/>
        <u/>
        <sz val="12"/>
        <rFont val="Times New Roman"/>
        <family val="1"/>
      </rPr>
      <t>l</t>
    </r>
    <r>
      <rPr>
        <b/>
        <u/>
        <sz val="11"/>
        <rFont val="Arial Narrow"/>
        <family val="2"/>
      </rPr>
      <t>(25+</t>
    </r>
    <r>
      <rPr>
        <b/>
        <i/>
        <u/>
        <sz val="11"/>
        <rFont val="Arial Narrow"/>
        <family val="2"/>
      </rPr>
      <t>n</t>
    </r>
    <r>
      <rPr>
        <b/>
        <u/>
        <sz val="11"/>
        <rFont val="Arial Narrow"/>
        <family val="2"/>
      </rPr>
      <t>)</t>
    </r>
  </si>
  <si>
    <r>
      <rPr>
        <b/>
        <i/>
        <sz val="12"/>
        <rFont val="Times New Roman"/>
        <family val="1"/>
      </rPr>
      <t>l</t>
    </r>
    <r>
      <rPr>
        <b/>
        <i/>
        <vertAlign val="subscript"/>
        <sz val="11"/>
        <rFont val="Arial Narrow"/>
        <family val="2"/>
      </rPr>
      <t>s</t>
    </r>
    <r>
      <rPr>
        <b/>
        <sz val="11"/>
        <rFont val="Arial Narrow"/>
        <family val="2"/>
      </rPr>
      <t>(25+</t>
    </r>
    <r>
      <rPr>
        <b/>
        <i/>
        <sz val="11"/>
        <rFont val="Arial Narrow"/>
        <family val="2"/>
      </rPr>
      <t>n</t>
    </r>
    <r>
      <rPr>
        <b/>
        <sz val="11"/>
        <rFont val="Arial Narrow"/>
        <family val="2"/>
      </rPr>
      <t>)</t>
    </r>
  </si>
  <si>
    <t>α</t>
  </si>
  <si>
    <t xml:space="preserve"> 0- 4</t>
  </si>
  <si>
    <r>
      <rPr>
        <b/>
        <i/>
        <sz val="12"/>
        <rFont val="Times New Roman"/>
        <family val="1"/>
      </rPr>
      <t>l</t>
    </r>
    <r>
      <rPr>
        <b/>
        <i/>
        <vertAlign val="subscript"/>
        <sz val="11"/>
        <rFont val="Arial Narrow"/>
        <family val="2"/>
      </rPr>
      <t>s</t>
    </r>
    <r>
      <rPr>
        <b/>
        <sz val="11"/>
        <rFont val="Arial Narrow"/>
        <family val="2"/>
      </rPr>
      <t>(45)</t>
    </r>
  </si>
  <si>
    <r>
      <rPr>
        <b/>
        <i/>
        <u/>
        <sz val="12"/>
        <rFont val="Times New Roman"/>
        <family val="1"/>
      </rPr>
      <t>l</t>
    </r>
    <r>
      <rPr>
        <b/>
        <u/>
        <sz val="11"/>
        <rFont val="Arial Narrow"/>
        <family val="2"/>
      </rPr>
      <t>(35+n)</t>
    </r>
  </si>
  <si>
    <r>
      <rPr>
        <b/>
        <i/>
        <sz val="12"/>
        <color indexed="8"/>
        <rFont val="Times New Roman"/>
        <family val="1"/>
      </rPr>
      <t>l</t>
    </r>
    <r>
      <rPr>
        <b/>
        <sz val="11"/>
        <color indexed="8"/>
        <rFont val="Arial Narrow"/>
        <family val="2"/>
      </rPr>
      <t>(35)</t>
    </r>
  </si>
  <si>
    <r>
      <rPr>
        <b/>
        <i/>
        <sz val="12"/>
        <rFont val="Times New Roman"/>
        <family val="1"/>
      </rPr>
      <t>l</t>
    </r>
    <r>
      <rPr>
        <b/>
        <i/>
        <vertAlign val="subscript"/>
        <sz val="11"/>
        <rFont val="Arial Narrow"/>
        <family val="2"/>
      </rPr>
      <t>s</t>
    </r>
    <r>
      <rPr>
        <b/>
        <sz val="11"/>
        <rFont val="Arial Narrow"/>
        <family val="2"/>
      </rPr>
      <t>(35+</t>
    </r>
    <r>
      <rPr>
        <b/>
        <i/>
        <sz val="11"/>
        <rFont val="Arial Narrow"/>
        <family val="2"/>
      </rPr>
      <t>n</t>
    </r>
    <r>
      <rPr>
        <b/>
        <sz val="11"/>
        <rFont val="Arial Narrow"/>
        <family val="2"/>
      </rPr>
      <t>)</t>
    </r>
  </si>
  <si>
    <r>
      <t>(</t>
    </r>
    <r>
      <rPr>
        <b/>
        <i/>
        <sz val="11"/>
        <rFont val="Arial Narrow"/>
        <family val="2"/>
      </rPr>
      <t>N</t>
    </r>
    <r>
      <rPr>
        <b/>
        <sz val="11"/>
        <rFont val="Arial Narrow"/>
        <family val="2"/>
      </rPr>
      <t>+0.75)/2</t>
    </r>
  </si>
  <si>
    <t xml:space="preserve"> 5 - 9</t>
  </si>
  <si>
    <r>
      <rPr>
        <b/>
        <i/>
        <u/>
        <sz val="12"/>
        <rFont val="Times New Roman"/>
        <family val="1"/>
      </rPr>
      <t>l</t>
    </r>
    <r>
      <rPr>
        <b/>
        <u/>
        <sz val="11"/>
        <rFont val="Arial Narrow"/>
        <family val="2"/>
      </rPr>
      <t>(45)</t>
    </r>
  </si>
  <si>
    <r>
      <rPr>
        <b/>
        <i/>
        <u/>
        <sz val="12"/>
        <rFont val="Times New Roman"/>
        <family val="1"/>
      </rPr>
      <t>l</t>
    </r>
    <r>
      <rPr>
        <b/>
        <u/>
        <sz val="11"/>
        <rFont val="Arial Narrow"/>
        <family val="2"/>
      </rPr>
      <t>(55)</t>
    </r>
  </si>
  <si>
    <r>
      <rPr>
        <b/>
        <i/>
        <sz val="12"/>
        <color indexed="8"/>
        <rFont val="Arial Narrow"/>
        <family val="2"/>
      </rPr>
      <t>l</t>
    </r>
    <r>
      <rPr>
        <b/>
        <sz val="11"/>
        <color indexed="8"/>
        <rFont val="Arial Narrow"/>
        <family val="2"/>
      </rPr>
      <t>(35)</t>
    </r>
  </si>
  <si>
    <r>
      <rPr>
        <b/>
        <i/>
        <u/>
        <sz val="12"/>
        <rFont val="Times New Roman"/>
        <family val="1"/>
      </rPr>
      <t>l</t>
    </r>
    <r>
      <rPr>
        <b/>
        <u/>
        <sz val="11"/>
        <rFont val="Arial Narrow"/>
        <family val="2"/>
      </rPr>
      <t>(35+</t>
    </r>
    <r>
      <rPr>
        <b/>
        <i/>
        <u/>
        <sz val="11"/>
        <rFont val="Arial Narrow"/>
        <family val="2"/>
      </rPr>
      <t>n</t>
    </r>
    <r>
      <rPr>
        <b/>
        <u/>
        <sz val="11"/>
        <rFont val="Arial Narrow"/>
        <family val="2"/>
      </rPr>
      <t>)</t>
    </r>
  </si>
  <si>
    <r>
      <rPr>
        <b/>
        <i/>
        <sz val="12"/>
        <color indexed="8"/>
        <rFont val="Times New Roman"/>
        <family val="1"/>
      </rPr>
      <t>l</t>
    </r>
    <r>
      <rPr>
        <b/>
        <sz val="11"/>
        <color indexed="8"/>
        <rFont val="Arial Narrow"/>
        <family val="2"/>
      </rPr>
      <t>(45)</t>
    </r>
  </si>
  <si>
    <r>
      <rPr>
        <b/>
        <i/>
        <sz val="12"/>
        <color indexed="8"/>
        <rFont val="Times New Roman"/>
        <family val="1"/>
      </rPr>
      <t>l</t>
    </r>
    <r>
      <rPr>
        <b/>
        <sz val="11"/>
        <color indexed="8"/>
        <rFont val="Arial Narrow"/>
        <family val="2"/>
      </rPr>
      <t>(25)</t>
    </r>
  </si>
  <si>
    <r>
      <rPr>
        <b/>
        <i/>
        <sz val="12"/>
        <color indexed="8"/>
        <rFont val="Times New Roman"/>
        <family val="1"/>
      </rPr>
      <t>l</t>
    </r>
    <r>
      <rPr>
        <b/>
        <sz val="11"/>
        <color indexed="8"/>
        <rFont val="Arial Narrow"/>
        <family val="2"/>
      </rPr>
      <t>(55)</t>
    </r>
  </si>
  <si>
    <r>
      <rPr>
        <sz val="10"/>
        <rFont val="Calibri"/>
        <family val="2"/>
      </rPr>
      <t>α</t>
    </r>
    <r>
      <rPr>
        <sz val="10"/>
        <rFont val="Arial"/>
        <family val="2"/>
      </rPr>
      <t xml:space="preserve"> =</t>
    </r>
  </si>
  <si>
    <r>
      <rPr>
        <sz val="10"/>
        <rFont val="Calibri"/>
        <family val="2"/>
      </rPr>
      <t>β</t>
    </r>
    <r>
      <rPr>
        <sz val="10"/>
        <rFont val="Arial"/>
        <family val="2"/>
      </rPr>
      <t xml:space="preserve"> =</t>
    </r>
  </si>
  <si>
    <r>
      <rPr>
        <b/>
        <i/>
        <sz val="11"/>
        <rFont val="Arial Narrow"/>
        <family val="2"/>
      </rPr>
      <t>e</t>
    </r>
    <r>
      <rPr>
        <b/>
        <vertAlign val="subscript"/>
        <sz val="11"/>
        <rFont val="Arial Narrow"/>
        <family val="2"/>
      </rPr>
      <t>0</t>
    </r>
    <r>
      <rPr>
        <b/>
        <sz val="11"/>
        <rFont val="Arial Narrow"/>
        <family val="2"/>
      </rPr>
      <t xml:space="preserve"> = 60</t>
    </r>
  </si>
  <si>
    <r>
      <rPr>
        <b/>
        <i/>
        <sz val="11"/>
        <rFont val="Arial Narrow"/>
        <family val="2"/>
      </rPr>
      <t>Y</t>
    </r>
    <r>
      <rPr>
        <b/>
        <vertAlign val="subscript"/>
        <sz val="11"/>
        <rFont val="Arial Narrow"/>
        <family val="2"/>
      </rPr>
      <t>s</t>
    </r>
    <r>
      <rPr>
        <b/>
        <sz val="11"/>
        <rFont val="Arial Narrow"/>
        <family val="2"/>
      </rPr>
      <t>(</t>
    </r>
    <r>
      <rPr>
        <b/>
        <i/>
        <sz val="11"/>
        <rFont val="Arial Narrow"/>
        <family val="2"/>
      </rPr>
      <t>x</t>
    </r>
    <r>
      <rPr>
        <b/>
        <sz val="11"/>
        <rFont val="Arial Narrow"/>
        <family val="2"/>
      </rPr>
      <t>)</t>
    </r>
  </si>
  <si>
    <r>
      <rPr>
        <b/>
        <i/>
        <sz val="11"/>
        <rFont val="Arial Narrow"/>
        <family val="2"/>
      </rPr>
      <t>Y</t>
    </r>
    <r>
      <rPr>
        <b/>
        <sz val="11"/>
        <rFont val="Arial Narrow"/>
        <family val="2"/>
      </rPr>
      <t>(</t>
    </r>
    <r>
      <rPr>
        <b/>
        <i/>
        <sz val="11"/>
        <rFont val="Arial Narrow"/>
        <family val="2"/>
      </rPr>
      <t>x</t>
    </r>
    <r>
      <rPr>
        <b/>
        <sz val="11"/>
        <rFont val="Arial Narrow"/>
        <family val="2"/>
      </rPr>
      <t>)</t>
    </r>
  </si>
  <si>
    <r>
      <rPr>
        <b/>
        <i/>
        <sz val="12"/>
        <rFont val="Times New Roman"/>
        <family val="1"/>
      </rPr>
      <t>l</t>
    </r>
    <r>
      <rPr>
        <b/>
        <sz val="11"/>
        <rFont val="Arial Narrow"/>
        <family val="2"/>
      </rPr>
      <t>(</t>
    </r>
    <r>
      <rPr>
        <b/>
        <i/>
        <sz val="11"/>
        <rFont val="Arial Narrow"/>
        <family val="2"/>
      </rPr>
      <t>x</t>
    </r>
    <r>
      <rPr>
        <b/>
        <sz val="11"/>
        <rFont val="Arial Narrow"/>
        <family val="2"/>
      </rPr>
      <t>)</t>
    </r>
  </si>
  <si>
    <r>
      <rPr>
        <b/>
        <i/>
        <sz val="12"/>
        <rFont val="Times New Roman"/>
        <family val="1"/>
      </rPr>
      <t>l</t>
    </r>
    <r>
      <rPr>
        <b/>
        <i/>
        <vertAlign val="subscript"/>
        <sz val="11"/>
        <rFont val="Arial Narrow"/>
        <family val="2"/>
      </rPr>
      <t>s</t>
    </r>
    <r>
      <rPr>
        <b/>
        <sz val="11"/>
        <rFont val="Arial Narrow"/>
        <family val="2"/>
      </rPr>
      <t>(55)</t>
    </r>
  </si>
  <si>
    <t>Version 1.0 Date: 8/11/2011</t>
  </si>
  <si>
    <t>30q30</t>
  </si>
  <si>
    <r>
      <rPr>
        <b/>
        <i/>
        <sz val="11"/>
        <rFont val="Arial Narrow"/>
        <family val="2"/>
      </rPr>
      <t>B</t>
    </r>
    <r>
      <rPr>
        <b/>
        <sz val="11"/>
        <rFont val="Arial Narrow"/>
        <family val="2"/>
      </rPr>
      <t>(</t>
    </r>
    <r>
      <rPr>
        <b/>
        <i/>
        <sz val="11"/>
        <rFont val="Arial Narrow"/>
        <family val="2"/>
      </rPr>
      <t>i</t>
    </r>
    <r>
      <rPr>
        <b/>
        <sz val="11"/>
        <rFont val="Arial Narrow"/>
        <family val="2"/>
      </rPr>
      <t>)</t>
    </r>
  </si>
  <si>
    <r>
      <rPr>
        <b/>
        <i/>
        <sz val="11"/>
        <rFont val="Arial Narrow"/>
        <family val="2"/>
      </rPr>
      <t>B</t>
    </r>
    <r>
      <rPr>
        <b/>
        <sz val="11"/>
        <rFont val="Arial Narrow"/>
        <family val="2"/>
      </rPr>
      <t>(</t>
    </r>
    <r>
      <rPr>
        <b/>
        <i/>
        <sz val="11"/>
        <rFont val="Arial Narrow"/>
        <family val="2"/>
      </rPr>
      <t>i</t>
    </r>
    <r>
      <rPr>
        <b/>
        <sz val="11"/>
        <rFont val="Arial Narrow"/>
        <family val="2"/>
      </rPr>
      <t>)*</t>
    </r>
    <r>
      <rPr>
        <b/>
        <i/>
        <sz val="11"/>
        <rFont val="Arial Narrow"/>
        <family val="2"/>
      </rPr>
      <t>N</t>
    </r>
  </si>
  <si>
    <r>
      <t>M</t>
    </r>
    <r>
      <rPr>
        <b/>
        <i/>
        <vertAlign val="superscript"/>
        <sz val="12"/>
        <rFont val="Arial Narrow"/>
        <family val="2"/>
      </rPr>
      <t>f</t>
    </r>
    <r>
      <rPr>
        <b/>
        <i/>
        <sz val="12"/>
        <rFont val="Arial Narrow"/>
        <family val="2"/>
      </rPr>
      <t xml:space="preserve"> = </t>
    </r>
  </si>
  <si>
    <t>1)</t>
  </si>
  <si>
    <t>2)</t>
  </si>
  <si>
    <t>3)</t>
  </si>
  <si>
    <t>4)</t>
  </si>
  <si>
    <t>5)</t>
  </si>
  <si>
    <t>6)</t>
  </si>
  <si>
    <t>7)</t>
  </si>
  <si>
    <t>8)</t>
  </si>
  <si>
    <t>9)</t>
  </si>
  <si>
    <t>10)</t>
  </si>
  <si>
    <t>11)</t>
  </si>
  <si>
    <t>Group</t>
  </si>
  <si>
    <t>Age group</t>
  </si>
  <si>
    <t>55-59</t>
  </si>
  <si>
    <t>60-64</t>
  </si>
  <si>
    <t>65-69</t>
  </si>
  <si>
    <t>70-74</t>
  </si>
  <si>
    <t>75-79</t>
  </si>
  <si>
    <t>80+</t>
  </si>
  <si>
    <r>
      <rPr>
        <b/>
        <i/>
        <sz val="10"/>
        <color theme="9" tint="-0.499984740745262"/>
        <rFont val="Arial"/>
        <family val="2"/>
      </rPr>
      <t>M</t>
    </r>
    <r>
      <rPr>
        <b/>
        <sz val="10"/>
        <color theme="9" tint="-0.499984740745262"/>
        <rFont val="Arial"/>
        <family val="2"/>
      </rPr>
      <t xml:space="preserve"> =</t>
    </r>
  </si>
  <si>
    <r>
      <t>M</t>
    </r>
    <r>
      <rPr>
        <b/>
        <i/>
        <vertAlign val="superscript"/>
        <sz val="12"/>
        <color theme="9" tint="-0.499984740745262"/>
        <rFont val="Arial Narrow"/>
        <family val="2"/>
      </rPr>
      <t>m</t>
    </r>
    <r>
      <rPr>
        <b/>
        <i/>
        <sz val="12"/>
        <color theme="9" tint="-0.499984740745262"/>
        <rFont val="Arial Narrow"/>
        <family val="2"/>
      </rPr>
      <t xml:space="preserve"> = </t>
    </r>
  </si>
  <si>
    <t>http://demographicestimation.iussp.org/content/orphanhood</t>
  </si>
  <si>
    <t>女性, 终身孤儿法</t>
  </si>
  <si>
    <t>女性, 婚后孤儿法</t>
  </si>
  <si>
    <t>女性, 婚前孤儿法</t>
  </si>
  <si>
    <t>男性, 婚前孤儿法</t>
  </si>
  <si>
    <t>男性, 终身孤儿法</t>
  </si>
  <si>
    <t>男性, 婚后孤儿法</t>
  </si>
  <si>
    <t>本方法的阐述请参见</t>
  </si>
  <si>
    <t>数据输入</t>
  </si>
  <si>
    <t>在右边下拉式单元格内选择想要列表和制图的概括性死亡率指标。</t>
  </si>
  <si>
    <t>国家/人口名称</t>
  </si>
  <si>
    <t>选择模型生命表</t>
  </si>
  <si>
    <t>选择死亡率指标</t>
  </si>
  <si>
    <t>访问日期</t>
  </si>
  <si>
    <t>埃及</t>
  </si>
  <si>
    <t>或者</t>
  </si>
  <si>
    <r>
      <t>类似地，将初婚时有健在母亲的受访者以及调查时点母亲仍健在的受访者人数分别输入到</t>
    </r>
    <r>
      <rPr>
        <b/>
        <i/>
        <sz val="12"/>
        <rFont val="Arial"/>
        <family val="2"/>
      </rPr>
      <t>Maternal orphanhood</t>
    </r>
    <r>
      <rPr>
        <sz val="12"/>
        <rFont val="Arial"/>
        <family val="2"/>
      </rPr>
      <t xml:space="preserve"> 工作表</t>
    </r>
    <r>
      <rPr>
        <b/>
        <sz val="12"/>
        <rFont val="Arial"/>
        <family val="2"/>
      </rPr>
      <t>B21:C26</t>
    </r>
    <r>
      <rPr>
        <sz val="12"/>
        <rFont val="Arial"/>
        <family val="2"/>
      </rPr>
      <t>单元格区域，或者将这时期母亲仍健在 的比例输入到</t>
    </r>
    <r>
      <rPr>
        <b/>
        <sz val="12"/>
        <rFont val="Arial"/>
        <family val="2"/>
      </rPr>
      <t>D21:D26</t>
    </r>
    <r>
      <rPr>
        <sz val="12"/>
        <rFont val="Arial"/>
        <family val="2"/>
      </rPr>
      <t>单元格区域</t>
    </r>
    <r>
      <rPr>
        <b/>
        <sz val="12"/>
        <rFont val="Arial"/>
        <family val="2"/>
      </rPr>
      <t>。</t>
    </r>
    <r>
      <rPr>
        <sz val="12"/>
        <rFont val="Arial"/>
        <family val="2"/>
      </rPr>
      <t xml:space="preserve"> 然后，将各年龄组总的受访者以及那些初婚时 母亲健在的受访者输入 到 </t>
    </r>
    <r>
      <rPr>
        <b/>
        <sz val="12"/>
        <rFont val="Arial"/>
        <family val="2"/>
      </rPr>
      <t>B35:C39</t>
    </r>
    <r>
      <rPr>
        <sz val="12"/>
        <rFont val="Arial"/>
        <family val="2"/>
      </rPr>
      <t xml:space="preserve"> 单元格，或者将初婚时母亲健在的比例输入到 </t>
    </r>
    <r>
      <rPr>
        <b/>
        <sz val="12"/>
        <rFont val="Arial"/>
        <family val="2"/>
      </rPr>
      <t xml:space="preserve">D35:D39 </t>
    </r>
    <r>
      <rPr>
        <sz val="12"/>
        <rFont val="Arial"/>
        <family val="2"/>
      </rPr>
      <t>单元格区域。 (注：因不应答因素，</t>
    </r>
    <r>
      <rPr>
        <b/>
        <sz val="12"/>
        <rFont val="Arial"/>
        <family val="2"/>
      </rPr>
      <t>C21:C25</t>
    </r>
    <r>
      <rPr>
        <sz val="12"/>
        <rFont val="Arial"/>
        <family val="2"/>
      </rPr>
      <t xml:space="preserve"> 单元格区域中的数字并不与 </t>
    </r>
    <r>
      <rPr>
        <b/>
        <sz val="12"/>
        <rFont val="Arial"/>
        <family val="2"/>
      </rPr>
      <t>C10:C14</t>
    </r>
    <r>
      <rPr>
        <sz val="12"/>
        <rFont val="Arial"/>
        <family val="2"/>
      </rPr>
      <t xml:space="preserve"> 单元格区域中的数字完全一致，</t>
    </r>
    <r>
      <rPr>
        <b/>
        <sz val="12"/>
        <rFont val="Arial"/>
        <family val="2"/>
      </rPr>
      <t>B35:B39</t>
    </r>
    <r>
      <rPr>
        <sz val="12"/>
        <rFont val="Arial"/>
        <family val="2"/>
      </rPr>
      <t xml:space="preserve"> 单元格区域中的数字也并不与 </t>
    </r>
    <r>
      <rPr>
        <b/>
        <sz val="12"/>
        <rFont val="Arial"/>
        <family val="2"/>
      </rPr>
      <t xml:space="preserve">B10:B14 </t>
    </r>
    <r>
      <rPr>
        <sz val="12"/>
        <rFont val="Arial"/>
        <family val="2"/>
      </rPr>
      <t>单元格区域完全一致)。</t>
    </r>
  </si>
  <si>
    <r>
      <t>分别</t>
    </r>
    <r>
      <rPr>
        <b/>
        <i/>
        <sz val="12"/>
        <rFont val="Arial"/>
        <family val="2"/>
      </rPr>
      <t>Maternal orphanhood</t>
    </r>
    <r>
      <rPr>
        <sz val="12"/>
        <rFont val="Arial"/>
        <family val="2"/>
      </rPr>
      <t>工作表</t>
    </r>
    <r>
      <rPr>
        <b/>
        <sz val="12"/>
        <rFont val="Arial"/>
        <family val="2"/>
      </rPr>
      <t>E35:E40</t>
    </r>
    <r>
      <rPr>
        <sz val="12"/>
        <rFont val="Arial"/>
        <family val="2"/>
      </rPr>
      <t>单元格区域和</t>
    </r>
    <r>
      <rPr>
        <b/>
        <i/>
        <sz val="12"/>
        <rFont val="Arial"/>
        <family val="2"/>
      </rPr>
      <t>Paternal orphanhoo</t>
    </r>
    <r>
      <rPr>
        <sz val="12"/>
        <rFont val="Arial"/>
        <family val="2"/>
      </rPr>
      <t>工作 表</t>
    </r>
    <r>
      <rPr>
        <b/>
        <sz val="12"/>
        <rFont val="Arial"/>
        <family val="2"/>
      </rPr>
      <t>E32:E36</t>
    </r>
    <r>
      <rPr>
        <sz val="12"/>
        <rFont val="Arial"/>
        <family val="2"/>
      </rPr>
      <t>区域输入受访者初婚（或初育）平均年龄的估计值。这些估计值可能在不同时间上升很快，受访者每个队列的估计值应尽可能地准确。</t>
    </r>
  </si>
  <si>
    <t>标准生命表</t>
  </si>
  <si>
    <t>年龄</t>
  </si>
  <si>
    <t>修正的</t>
  </si>
  <si>
    <r>
      <rPr>
        <b/>
        <i/>
        <sz val="11"/>
        <rFont val="Arial"/>
        <family val="2"/>
      </rPr>
      <t>e</t>
    </r>
    <r>
      <rPr>
        <b/>
        <vertAlign val="subscript"/>
        <sz val="11"/>
        <rFont val="Arial"/>
        <family val="2"/>
      </rPr>
      <t>0</t>
    </r>
    <r>
      <rPr>
        <b/>
        <sz val="11"/>
        <rFont val="Arial"/>
        <family val="2"/>
      </rPr>
      <t>=60时的模型生命表罗吉特值，男女合计</t>
    </r>
  </si>
  <si>
    <t>联合国一般</t>
  </si>
  <si>
    <t>普林斯顿东部</t>
  </si>
  <si>
    <t>普林斯顿北部</t>
  </si>
  <si>
    <t>普林斯顿南部</t>
  </si>
  <si>
    <t>普林斯顿西部</t>
  </si>
  <si>
    <t>其他</t>
  </si>
  <si>
    <t>由孤儿法估算成年人死亡率</t>
  </si>
  <si>
    <t>调查日期</t>
  </si>
  <si>
    <t>总的</t>
  </si>
  <si>
    <t>母亲健在</t>
  </si>
  <si>
    <t>平均生育 年龄</t>
  </si>
  <si>
    <t>标准</t>
  </si>
  <si>
    <t>水平</t>
  </si>
  <si>
    <t>组</t>
  </si>
  <si>
    <t>受访者</t>
  </si>
  <si>
    <t>的受访者</t>
  </si>
  <si>
    <r>
      <t>比例</t>
    </r>
    <r>
      <rPr>
        <b/>
        <i/>
        <sz val="11"/>
        <rFont val="Arial Narrow"/>
        <family val="2"/>
      </rPr>
      <t>S</t>
    </r>
    <r>
      <rPr>
        <b/>
        <sz val="11"/>
        <rFont val="Arial Narrow"/>
        <family val="2"/>
      </rPr>
      <t>(</t>
    </r>
    <r>
      <rPr>
        <b/>
        <i/>
        <sz val="11"/>
        <rFont val="Arial Narrow"/>
        <family val="2"/>
      </rPr>
      <t>n</t>
    </r>
    <r>
      <rPr>
        <b/>
        <sz val="11"/>
        <rFont val="Arial Narrow"/>
        <family val="2"/>
      </rPr>
      <t>)</t>
    </r>
  </si>
  <si>
    <t>死亡概率</t>
  </si>
  <si>
    <t>日期</t>
  </si>
  <si>
    <t>调查时</t>
  </si>
  <si>
    <t>母亲仍</t>
  </si>
  <si>
    <t>平均初婚年龄</t>
  </si>
  <si>
    <t>比例</t>
  </si>
  <si>
    <t>初婚时 母亲健在 人数</t>
  </si>
  <si>
    <t>健在人数</t>
  </si>
  <si>
    <t>平均生育年龄的计算</t>
  </si>
  <si>
    <t>上一年的</t>
  </si>
  <si>
    <t>出生数</t>
  </si>
  <si>
    <t>年龄的</t>
  </si>
  <si>
    <t>中间值</t>
  </si>
  <si>
    <r>
      <t>生育数按什么分组</t>
    </r>
    <r>
      <rPr>
        <b/>
        <sz val="10"/>
        <rFont val="Arial"/>
        <family val="2"/>
      </rPr>
      <t xml:space="preserve">: </t>
    </r>
  </si>
  <si>
    <t>调查时的年龄</t>
  </si>
  <si>
    <t>无母孤儿数据估计值的对应时间</t>
  </si>
  <si>
    <t>中间</t>
  </si>
  <si>
    <t>存活</t>
  </si>
  <si>
    <t>非线性</t>
  </si>
  <si>
    <t>历险</t>
  </si>
  <si>
    <t>对应</t>
  </si>
  <si>
    <t>中间点</t>
  </si>
  <si>
    <t>时间</t>
  </si>
  <si>
    <t>存活比例</t>
  </si>
  <si>
    <t>回归系数 -提马亚斯 (1992)</t>
  </si>
  <si>
    <t>回归系数 -提马亚斯 (1991)</t>
  </si>
  <si>
    <t>父亲健在</t>
  </si>
  <si>
    <t>初婚时 父亲健在 人数</t>
  </si>
  <si>
    <t>父亲仍</t>
  </si>
  <si>
    <t>无父孤儿数据估计值的对应时间</t>
  </si>
  <si>
    <t>合计</t>
  </si>
  <si>
    <t>男性累计在婚 %</t>
  </si>
  <si>
    <t>女性累计  在婚 %</t>
  </si>
  <si>
    <t>年龄差</t>
  </si>
  <si>
    <t>计算在婚人口年龄中位数</t>
  </si>
  <si>
    <t>在婚男性 人口</t>
  </si>
  <si>
    <t>在婚女性人口</t>
  </si>
  <si>
    <t>根据初婚前后孤儿法估计成年人死亡率--应用说明</t>
  </si>
  <si>
    <t>与童年期孤儿法不同，本工作表基于受访者在初婚或初育后其母亲和父亲是否仍健在的比例（成年孤儿法）来估算成年女性和成年男性的死亡率。</t>
  </si>
  <si>
    <t>输入参数</t>
  </si>
  <si>
    <t>校正的</t>
  </si>
  <si>
    <t>在右边单元格内输入国家或人口名称。</t>
  </si>
  <si>
    <t>在右边下拉式单元格内选定想要用来分析该人口死亡水平和趋势的模型生命表。</t>
  </si>
  <si>
    <t>在右边单元格内输入平均的受访时间或搜集数据的中间时点。</t>
  </si>
  <si>
    <r>
      <t xml:space="preserve">如果有分年龄组的受访者人数和调查时点母亲仍健在的人数，将这些数据黏贴到 </t>
    </r>
    <r>
      <rPr>
        <b/>
        <i/>
        <sz val="12"/>
        <rFont val="Arial"/>
        <family val="2"/>
      </rPr>
      <t>Maternal orphanhood</t>
    </r>
    <r>
      <rPr>
        <sz val="12"/>
        <rFont val="Arial"/>
        <family val="2"/>
      </rPr>
      <t xml:space="preserve"> 工作表中的 </t>
    </r>
    <r>
      <rPr>
        <b/>
        <sz val="12"/>
        <rFont val="Arial"/>
        <family val="2"/>
      </rPr>
      <t>B6:C14</t>
    </r>
    <r>
      <rPr>
        <sz val="12"/>
        <rFont val="Arial"/>
        <family val="2"/>
      </rPr>
      <t xml:space="preserve"> 单元格区域。那些并不知道母亲 是否还健在的人数或者那些没有回答这一问题的受访者人数应剔除。</t>
    </r>
  </si>
  <si>
    <r>
      <t xml:space="preserve">如果有分年龄组的调查时点母亲仍健在的比例，将这些数据黏贴到 </t>
    </r>
    <r>
      <rPr>
        <b/>
        <i/>
        <sz val="12"/>
        <rFont val="Arial"/>
        <family val="2"/>
      </rPr>
      <t>Maternal orphanhood</t>
    </r>
    <r>
      <rPr>
        <sz val="12"/>
        <rFont val="Arial"/>
        <family val="2"/>
      </rPr>
      <t xml:space="preserve"> 工作表中的 </t>
    </r>
    <r>
      <rPr>
        <b/>
        <sz val="12"/>
        <rFont val="Arial"/>
        <family val="2"/>
      </rPr>
      <t>D6:D14</t>
    </r>
    <r>
      <rPr>
        <sz val="12"/>
        <rFont val="Arial"/>
        <family val="2"/>
      </rPr>
      <t xml:space="preserve"> 单元格区域。若它们用百分数表示，则除以100。</t>
    </r>
  </si>
  <si>
    <r>
      <t xml:space="preserve">如果有分年龄组的受访者人数和调查时点父亲仍健在的人数，将这些数据黏贴到 </t>
    </r>
    <r>
      <rPr>
        <b/>
        <i/>
        <sz val="12"/>
        <rFont val="Arial"/>
        <family val="2"/>
      </rPr>
      <t>Paternal orphanhood</t>
    </r>
    <r>
      <rPr>
        <sz val="12"/>
        <rFont val="Arial"/>
        <family val="2"/>
      </rPr>
      <t xml:space="preserve"> 工作表中的 </t>
    </r>
    <r>
      <rPr>
        <b/>
        <sz val="12"/>
        <rFont val="Arial"/>
        <family val="2"/>
      </rPr>
      <t>B6:C13</t>
    </r>
    <r>
      <rPr>
        <sz val="12"/>
        <rFont val="Arial"/>
        <family val="2"/>
      </rPr>
      <t xml:space="preserve"> 单元格区域。那些并不知道父亲 是否还健在的人数或者那些没有回答这一问题的受访者人数应剔除。</t>
    </r>
  </si>
  <si>
    <r>
      <t xml:space="preserve">如果有分年龄组的目前父亲仍健在的比例，将这些数据黏贴到 </t>
    </r>
    <r>
      <rPr>
        <b/>
        <i/>
        <sz val="12"/>
        <rFont val="Arial"/>
        <family val="2"/>
      </rPr>
      <t>Paternal orphanhood</t>
    </r>
    <r>
      <rPr>
        <sz val="12"/>
        <rFont val="Arial"/>
        <family val="2"/>
      </rPr>
      <t xml:space="preserve"> 工作表中的 </t>
    </r>
    <r>
      <rPr>
        <b/>
        <sz val="12"/>
        <rFont val="Arial"/>
        <family val="2"/>
      </rPr>
      <t>D6:D13</t>
    </r>
    <r>
      <rPr>
        <sz val="12"/>
        <rFont val="Arial"/>
        <family val="2"/>
      </rPr>
      <t xml:space="preserve"> 单元格区域。若它们用百分数表示，则除以100。</t>
    </r>
  </si>
  <si>
    <r>
      <t>类似地，将初婚时有健在父亲的受访者以及调查时点父亲仍健在的受访者人数分别输入到</t>
    </r>
    <r>
      <rPr>
        <b/>
        <i/>
        <sz val="12"/>
        <rFont val="Arial"/>
        <family val="2"/>
      </rPr>
      <t>Paternal orphanhood</t>
    </r>
    <r>
      <rPr>
        <sz val="12"/>
        <rFont val="Arial"/>
        <family val="2"/>
      </rPr>
      <t xml:space="preserve"> 工作表</t>
    </r>
    <r>
      <rPr>
        <b/>
        <sz val="12"/>
        <rFont val="Arial"/>
        <family val="2"/>
      </rPr>
      <t>B20:C23</t>
    </r>
    <r>
      <rPr>
        <sz val="12"/>
        <rFont val="Arial"/>
        <family val="2"/>
      </rPr>
      <t>单元格区域，或者将这时期父亲仍健在 的比例输入到</t>
    </r>
    <r>
      <rPr>
        <b/>
        <sz val="12"/>
        <rFont val="Arial"/>
        <family val="2"/>
      </rPr>
      <t>D20:D23</t>
    </r>
    <r>
      <rPr>
        <sz val="12"/>
        <rFont val="Arial"/>
        <family val="2"/>
      </rPr>
      <t>单元格区域</t>
    </r>
    <r>
      <rPr>
        <b/>
        <sz val="12"/>
        <rFont val="Arial"/>
        <family val="2"/>
      </rPr>
      <t>。</t>
    </r>
    <r>
      <rPr>
        <sz val="12"/>
        <rFont val="Arial"/>
        <family val="2"/>
      </rPr>
      <t xml:space="preserve"> 然后，将各年龄组总的受访者以及那些初婚时 父亲健在的受访者输入到 </t>
    </r>
    <r>
      <rPr>
        <b/>
        <sz val="12"/>
        <rFont val="Arial"/>
        <family val="2"/>
      </rPr>
      <t>B32:C36</t>
    </r>
    <r>
      <rPr>
        <sz val="12"/>
        <rFont val="Arial"/>
        <family val="2"/>
      </rPr>
      <t xml:space="preserve">单元格，或者将初婚时父亲健在的比例输入到 </t>
    </r>
    <r>
      <rPr>
        <b/>
        <sz val="12"/>
        <rFont val="Arial"/>
        <family val="2"/>
      </rPr>
      <t xml:space="preserve">D32:D36 </t>
    </r>
    <r>
      <rPr>
        <sz val="12"/>
        <rFont val="Arial"/>
        <family val="2"/>
      </rPr>
      <t>单元格区域。 (注：因不应答因素，</t>
    </r>
    <r>
      <rPr>
        <b/>
        <sz val="12"/>
        <rFont val="Arial"/>
        <family val="2"/>
      </rPr>
      <t>C20:C23</t>
    </r>
    <r>
      <rPr>
        <sz val="12"/>
        <rFont val="Arial"/>
        <family val="2"/>
      </rPr>
      <t xml:space="preserve"> 单元格区域中的数字并不与 </t>
    </r>
    <r>
      <rPr>
        <b/>
        <sz val="12"/>
        <rFont val="Arial"/>
        <family val="2"/>
      </rPr>
      <t>C10:C13</t>
    </r>
    <r>
      <rPr>
        <sz val="12"/>
        <rFont val="Arial"/>
        <family val="2"/>
      </rPr>
      <t xml:space="preserve"> 单元格区域中的数字完全一致，</t>
    </r>
    <r>
      <rPr>
        <b/>
        <sz val="12"/>
        <rFont val="Arial"/>
        <family val="2"/>
      </rPr>
      <t>B32:B35</t>
    </r>
    <r>
      <rPr>
        <sz val="12"/>
        <rFont val="Arial"/>
        <family val="2"/>
      </rPr>
      <t xml:space="preserve"> 单元格区域中的数字也并不与 </t>
    </r>
    <r>
      <rPr>
        <b/>
        <sz val="12"/>
        <rFont val="Arial"/>
        <family val="2"/>
      </rPr>
      <t xml:space="preserve">B10:B13 </t>
    </r>
    <r>
      <rPr>
        <sz val="12"/>
        <rFont val="Arial"/>
        <family val="2"/>
      </rPr>
      <t>单元格区域完全一致)。</t>
    </r>
  </si>
  <si>
    <r>
      <t xml:space="preserve">要计算男性的平均生育年龄，需将分年龄组的在婚男性和女性人数输入到 </t>
    </r>
    <r>
      <rPr>
        <b/>
        <i/>
        <sz val="12"/>
        <rFont val="Arial"/>
        <family val="2"/>
      </rPr>
      <t>Paternal orphanhood</t>
    </r>
    <r>
      <rPr>
        <sz val="12"/>
        <rFont val="Arial"/>
        <family val="2"/>
      </rPr>
      <t xml:space="preserve"> 工作表</t>
    </r>
    <r>
      <rPr>
        <b/>
        <sz val="12"/>
        <rFont val="Arial"/>
        <family val="2"/>
      </rPr>
      <t>B47:C61</t>
    </r>
    <r>
      <rPr>
        <sz val="12"/>
        <rFont val="Arial"/>
        <family val="2"/>
      </rPr>
      <t xml:space="preserve"> 单元格区域内。这些数据是用来计算目前在婚人口 的年龄中位数的， 应该包括所有年龄段的所有在婚人口数。分析人员可以在大于年龄 中位数（年龄中位数一般小于45岁）的开放年龄组增加数据。</t>
    </r>
  </si>
  <si>
    <t>平均生育年龄</t>
  </si>
  <si>
    <r>
      <t xml:space="preserve">要计算妇女的平均生育年龄, 需将分年龄的 妇女在调查前一年的生育数输入到 </t>
    </r>
    <r>
      <rPr>
        <b/>
        <i/>
        <sz val="12"/>
        <rFont val="Arial"/>
        <family val="2"/>
      </rPr>
      <t xml:space="preserve">Maternal orphanhood </t>
    </r>
    <r>
      <rPr>
        <sz val="12"/>
        <rFont val="Arial"/>
        <family val="2"/>
      </rPr>
      <t xml:space="preserve">工作表中的 </t>
    </r>
    <r>
      <rPr>
        <b/>
        <sz val="12"/>
        <rFont val="Arial"/>
        <family val="2"/>
      </rPr>
      <t xml:space="preserve">B47:B53 </t>
    </r>
    <r>
      <rPr>
        <sz val="12"/>
        <rFont val="Arial"/>
        <family val="2"/>
      </rPr>
      <t>单元格内。这里，生育数列表的默认 年龄为母亲在 调查时的年龄而不是母亲生育时的年龄。但.有一选项，可以改变这种默认。</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</si>
</sst>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 #,##0.00_ ;_ * \-#,##0.00_ ;_ * &quot;-&quot;??_ ;_ @_ "/>
    <numFmt numFmtId="165" formatCode="_-* #,##0.00_-;\-* #,##0.00_-;_-* &quot;-&quot;??_-;_-@_-"/>
    <numFmt numFmtId="166" formatCode="0.0000_)"/>
    <numFmt numFmtId="167" formatCode="0_)"/>
    <numFmt numFmtId="168" formatCode="0.0_)"/>
    <numFmt numFmtId="169" formatCode="0.000_)"/>
    <numFmt numFmtId="170" formatCode="0.00_)"/>
    <numFmt numFmtId="171" formatCode="General_)"/>
    <numFmt numFmtId="172" formatCode="0.0000"/>
    <numFmt numFmtId="173" formatCode="0.00000"/>
    <numFmt numFmtId="174" formatCode="0.00000_)"/>
    <numFmt numFmtId="175" formatCode="#,##0.0000"/>
  </numFmts>
  <fonts count="60">
    <font>
      <sz val="10"/>
      <name val="Courier"/>
    </font>
    <font>
      <sz val="11"/>
      <name val="Times New Roman"/>
      <family val="1"/>
    </font>
    <font>
      <sz val="11"/>
      <name val="Times New Roman"/>
      <family val="1"/>
    </font>
    <font>
      <sz val="11"/>
      <color indexed="12"/>
      <name val="Times New Roman"/>
      <family val="1"/>
    </font>
    <font>
      <sz val="10"/>
      <name val="Courier"/>
      <family val="3"/>
    </font>
    <font>
      <b/>
      <sz val="10"/>
      <name val="Courier"/>
      <family val="3"/>
    </font>
    <font>
      <b/>
      <sz val="12"/>
      <name val="Arial"/>
      <family val="2"/>
    </font>
    <font>
      <sz val="10"/>
      <name val="Arial"/>
      <family val="2"/>
    </font>
    <font>
      <b/>
      <sz val="11"/>
      <name val="Arial Narrow"/>
      <family val="2"/>
    </font>
    <font>
      <sz val="12"/>
      <name val="Arial Narrow"/>
      <family val="2"/>
    </font>
    <font>
      <b/>
      <i/>
      <sz val="11"/>
      <name val="Arial Narrow"/>
      <family val="2"/>
    </font>
    <font>
      <b/>
      <i/>
      <vertAlign val="subscript"/>
      <sz val="11"/>
      <name val="Arial Narrow"/>
      <family val="2"/>
    </font>
    <font>
      <sz val="12"/>
      <name val="Arial"/>
      <family val="2"/>
    </font>
    <font>
      <u/>
      <sz val="10"/>
      <color indexed="8"/>
      <name val="Arial"/>
      <family val="2"/>
    </font>
    <font>
      <u/>
      <sz val="10"/>
      <name val="Arial"/>
      <family val="2"/>
    </font>
    <font>
      <sz val="10"/>
      <color indexed="8"/>
      <name val="Arial"/>
      <family val="2"/>
    </font>
    <font>
      <b/>
      <sz val="11"/>
      <name val="Arial"/>
      <family val="2"/>
    </font>
    <font>
      <b/>
      <u/>
      <sz val="11"/>
      <name val="Arial Narrow"/>
      <family val="2"/>
    </font>
    <font>
      <b/>
      <i/>
      <u/>
      <sz val="12"/>
      <name val="Times New Roman"/>
      <family val="1"/>
    </font>
    <font>
      <b/>
      <i/>
      <u/>
      <sz val="11"/>
      <name val="Arial Narrow"/>
      <family val="2"/>
    </font>
    <font>
      <sz val="10"/>
      <name val="Arial Narrow"/>
      <family val="2"/>
    </font>
    <font>
      <b/>
      <sz val="11"/>
      <color indexed="8"/>
      <name val="Times New Roman"/>
      <family val="1"/>
    </font>
    <font>
      <b/>
      <i/>
      <sz val="12"/>
      <color indexed="8"/>
      <name val="Times New Roman"/>
      <family val="1"/>
    </font>
    <font>
      <b/>
      <i/>
      <sz val="12"/>
      <name val="Times New Roman"/>
      <family val="1"/>
    </font>
    <font>
      <b/>
      <sz val="11"/>
      <color indexed="8"/>
      <name val="Arial Narrow"/>
      <family val="2"/>
    </font>
    <font>
      <sz val="11"/>
      <name val="Arial Narrow"/>
      <family val="2"/>
    </font>
    <font>
      <b/>
      <sz val="11"/>
      <name val="Calibri"/>
      <family val="2"/>
    </font>
    <font>
      <sz val="10"/>
      <name val="Calibri"/>
      <family val="2"/>
    </font>
    <font>
      <b/>
      <sz val="12"/>
      <name val="Arial Narrow"/>
      <family val="2"/>
    </font>
    <font>
      <sz val="10"/>
      <color indexed="12"/>
      <name val="Arial"/>
      <family val="2"/>
    </font>
    <font>
      <b/>
      <i/>
      <sz val="12"/>
      <color indexed="8"/>
      <name val="Arial Narrow"/>
      <family val="2"/>
    </font>
    <font>
      <b/>
      <vertAlign val="subscript"/>
      <sz val="11"/>
      <name val="Arial Narrow"/>
      <family val="2"/>
    </font>
    <font>
      <sz val="12"/>
      <name val="Courier"/>
      <family val="3"/>
    </font>
    <font>
      <sz val="12"/>
      <color theme="0"/>
      <name val="Arial"/>
      <family val="2"/>
    </font>
    <font>
      <u/>
      <sz val="10"/>
      <color theme="10"/>
      <name val="Arial"/>
      <family val="2"/>
    </font>
    <font>
      <u/>
      <sz val="12"/>
      <color theme="10"/>
      <name val="Arial"/>
      <family val="2"/>
    </font>
    <font>
      <i/>
      <sz val="12"/>
      <name val="Arial"/>
      <family val="2"/>
    </font>
    <font>
      <sz val="12"/>
      <color rgb="FFFF0000"/>
      <name val="Arial"/>
      <family val="2"/>
    </font>
    <font>
      <sz val="11"/>
      <color indexed="8"/>
      <name val="Calibri"/>
      <family val="2"/>
    </font>
    <font>
      <sz val="8"/>
      <name val="SAS Monospace"/>
    </font>
    <font>
      <sz val="9"/>
      <color indexed="81"/>
      <name val="Tahoma"/>
      <family val="2"/>
    </font>
    <font>
      <b/>
      <sz val="10"/>
      <name val="Arial"/>
      <family val="2"/>
    </font>
    <font>
      <b/>
      <i/>
      <sz val="12"/>
      <name val="Arial Narrow"/>
      <family val="2"/>
    </font>
    <font>
      <b/>
      <i/>
      <vertAlign val="superscript"/>
      <sz val="12"/>
      <name val="Arial Narrow"/>
      <family val="2"/>
    </font>
    <font>
      <i/>
      <sz val="10"/>
      <name val="Arial"/>
      <family val="2"/>
    </font>
    <font>
      <b/>
      <i/>
      <sz val="12"/>
      <name val="Arial"/>
      <family val="2"/>
    </font>
    <font>
      <sz val="12"/>
      <color rgb="FF006600"/>
      <name val="Arial"/>
      <family val="2"/>
    </font>
    <font>
      <i/>
      <sz val="12"/>
      <color rgb="FF006600"/>
      <name val="Arial"/>
      <family val="2"/>
    </font>
    <font>
      <sz val="10"/>
      <color rgb="FF006600"/>
      <name val="Arial"/>
      <family val="2"/>
    </font>
    <font>
      <sz val="10"/>
      <color theme="9" tint="-0.499984740745262"/>
      <name val="Arial"/>
      <family val="2"/>
    </font>
    <font>
      <b/>
      <sz val="10"/>
      <color theme="9" tint="-0.499984740745262"/>
      <name val="Arial"/>
      <family val="2"/>
    </font>
    <font>
      <b/>
      <i/>
      <sz val="10"/>
      <color theme="9" tint="-0.499984740745262"/>
      <name val="Arial"/>
      <family val="2"/>
    </font>
    <font>
      <b/>
      <i/>
      <sz val="12"/>
      <color theme="9" tint="-0.499984740745262"/>
      <name val="Arial"/>
      <family val="2"/>
    </font>
    <font>
      <b/>
      <i/>
      <vertAlign val="superscript"/>
      <sz val="12"/>
      <color theme="9" tint="-0.499984740745262"/>
      <name val="Arial Narrow"/>
      <family val="2"/>
    </font>
    <font>
      <b/>
      <i/>
      <sz val="12"/>
      <color theme="9" tint="-0.499984740745262"/>
      <name val="Arial Narrow"/>
      <family val="2"/>
    </font>
    <font>
      <b/>
      <i/>
      <sz val="11"/>
      <name val="Arial"/>
      <family val="2"/>
    </font>
    <font>
      <b/>
      <vertAlign val="subscript"/>
      <sz val="11"/>
      <name val="Arial"/>
      <family val="2"/>
    </font>
    <font>
      <b/>
      <i/>
      <sz val="9"/>
      <color indexed="81"/>
      <name val="Tahoma"/>
      <family val="2"/>
    </font>
    <font>
      <b/>
      <sz val="9"/>
      <color indexed="81"/>
      <name val="Tahoma"/>
      <family val="2"/>
    </font>
    <font>
      <sz val="9"/>
      <name val="宋体"/>
      <family val="3"/>
      <charset val="134"/>
    </font>
  </fonts>
  <fills count="7">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rgb="FFFFEB9B"/>
        <bgColor indexed="64"/>
      </patternFill>
    </fill>
    <fill>
      <patternFill patternType="solid">
        <fgColor rgb="FFFFEB9C"/>
        <bgColor indexed="64"/>
      </patternFill>
    </fill>
    <fill>
      <patternFill patternType="solid">
        <fgColor theme="5" tint="0.39997558519241921"/>
        <bgColor indexed="64"/>
      </patternFill>
    </fill>
  </fills>
  <borders count="16">
    <border>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style="thin">
        <color theme="9" tint="-0.249977111117893"/>
      </bottom>
      <diagonal/>
    </border>
    <border>
      <left/>
      <right/>
      <top style="thin">
        <color indexed="64"/>
      </top>
      <bottom style="thin">
        <color indexed="64"/>
      </bottom>
      <diagonal/>
    </border>
    <border>
      <left style="medium">
        <color theme="9" tint="-0.499984740745262"/>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s>
  <cellStyleXfs count="11">
    <xf numFmtId="166" fontId="0" fillId="0" borderId="0"/>
    <xf numFmtId="165" fontId="1" fillId="0" borderId="0" applyFont="0" applyFill="0" applyBorder="0" applyAlignment="0" applyProtection="0"/>
    <xf numFmtId="166" fontId="4" fillId="0" borderId="0"/>
    <xf numFmtId="166" fontId="4" fillId="0" borderId="0"/>
    <xf numFmtId="0" fontId="7" fillId="0" borderId="0"/>
    <xf numFmtId="171" fontId="32" fillId="0" borderId="0"/>
    <xf numFmtId="0" fontId="34" fillId="0" borderId="0" applyNumberFormat="0" applyFill="0" applyBorder="0" applyAlignment="0" applyProtection="0">
      <alignment vertical="top"/>
      <protection locked="0"/>
    </xf>
    <xf numFmtId="164" fontId="38" fillId="0" borderId="0" applyFont="0" applyFill="0" applyBorder="0" applyAlignment="0" applyProtection="0"/>
    <xf numFmtId="0" fontId="39" fillId="0" borderId="0"/>
    <xf numFmtId="0" fontId="39" fillId="0" borderId="0"/>
    <xf numFmtId="0" fontId="7" fillId="0" borderId="0"/>
  </cellStyleXfs>
  <cellXfs count="306">
    <xf numFmtId="166" fontId="0" fillId="0" borderId="0" xfId="0"/>
    <xf numFmtId="166" fontId="2" fillId="0" borderId="0" xfId="0" applyFont="1"/>
    <xf numFmtId="167" fontId="2" fillId="0" borderId="0" xfId="0" applyNumberFormat="1" applyFont="1" applyProtection="1"/>
    <xf numFmtId="166" fontId="2" fillId="0" borderId="0" xfId="0" applyFont="1" applyProtection="1"/>
    <xf numFmtId="166" fontId="2" fillId="0" borderId="0" xfId="0" applyFont="1" applyAlignment="1" applyProtection="1">
      <alignment horizontal="center"/>
    </xf>
    <xf numFmtId="166" fontId="2" fillId="0" borderId="0" xfId="0" applyFont="1" applyBorder="1"/>
    <xf numFmtId="168" fontId="2" fillId="0" borderId="0" xfId="0" applyNumberFormat="1" applyFont="1" applyProtection="1"/>
    <xf numFmtId="170" fontId="2" fillId="0" borderId="0" xfId="0" applyNumberFormat="1" applyFont="1" applyProtection="1"/>
    <xf numFmtId="169" fontId="2" fillId="0" borderId="0" xfId="0" applyNumberFormat="1" applyFont="1"/>
    <xf numFmtId="170" fontId="2" fillId="0" borderId="0" xfId="0" applyNumberFormat="1" applyFont="1"/>
    <xf numFmtId="170" fontId="2" fillId="0" borderId="0" xfId="0" applyNumberFormat="1" applyFont="1" applyBorder="1" applyAlignment="1" applyProtection="1">
      <alignment horizontal="center"/>
    </xf>
    <xf numFmtId="167" fontId="2" fillId="0" borderId="0" xfId="0" applyNumberFormat="1" applyFont="1"/>
    <xf numFmtId="166" fontId="2" fillId="0" borderId="0" xfId="0" applyFont="1" applyAlignment="1"/>
    <xf numFmtId="170" fontId="2" fillId="0" borderId="0" xfId="0" applyNumberFormat="1" applyFont="1" applyBorder="1" applyAlignment="1">
      <alignment horizontal="center"/>
    </xf>
    <xf numFmtId="167" fontId="2" fillId="0" borderId="0" xfId="0" applyNumberFormat="1" applyFont="1" applyAlignment="1">
      <alignment horizontal="center"/>
    </xf>
    <xf numFmtId="166" fontId="2" fillId="0" borderId="0" xfId="0" applyFont="1" applyAlignment="1">
      <alignment horizontal="center"/>
    </xf>
    <xf numFmtId="170" fontId="3" fillId="0" borderId="0" xfId="0" applyNumberFormat="1" applyFont="1" applyProtection="1"/>
    <xf numFmtId="166" fontId="5" fillId="0" borderId="0" xfId="0" applyFont="1" applyFill="1" applyBorder="1" applyAlignment="1">
      <alignment horizontal="left" wrapText="1"/>
    </xf>
    <xf numFmtId="170" fontId="5" fillId="0" borderId="0" xfId="0" applyNumberFormat="1" applyFont="1" applyFill="1" applyBorder="1" applyAlignment="1">
      <alignment horizontal="left" wrapText="1"/>
    </xf>
    <xf numFmtId="169" fontId="5" fillId="0" borderId="0" xfId="0" applyNumberFormat="1" applyFont="1" applyFill="1" applyBorder="1" applyAlignment="1">
      <alignment horizontal="left" wrapText="1"/>
    </xf>
    <xf numFmtId="166" fontId="5" fillId="0" borderId="0" xfId="0" applyFont="1" applyFill="1" applyBorder="1" applyAlignment="1">
      <alignment horizontal="left" vertical="top" wrapText="1"/>
    </xf>
    <xf numFmtId="172" fontId="1" fillId="0" borderId="0" xfId="0" applyNumberFormat="1" applyFont="1" applyProtection="1"/>
    <xf numFmtId="171" fontId="6" fillId="0" borderId="0" xfId="0" applyNumberFormat="1" applyFont="1" applyAlignment="1" applyProtection="1">
      <alignment horizontal="left"/>
    </xf>
    <xf numFmtId="171" fontId="7" fillId="0" borderId="0" xfId="0" applyNumberFormat="1" applyFont="1"/>
    <xf numFmtId="171" fontId="7" fillId="0" borderId="0" xfId="0" applyNumberFormat="1" applyFont="1" applyAlignment="1" applyProtection="1">
      <alignment horizontal="right"/>
    </xf>
    <xf numFmtId="171" fontId="7" fillId="0" borderId="0" xfId="0" applyNumberFormat="1" applyFont="1" applyProtection="1"/>
    <xf numFmtId="171" fontId="8" fillId="2" borderId="2" xfId="0" applyNumberFormat="1" applyFont="1" applyFill="1" applyBorder="1" applyAlignment="1" applyProtection="1">
      <alignment horizontal="center"/>
    </xf>
    <xf numFmtId="171" fontId="8" fillId="2" borderId="2" xfId="0" applyNumberFormat="1" applyFont="1" applyFill="1" applyBorder="1"/>
    <xf numFmtId="171" fontId="8" fillId="2" borderId="0" xfId="0" applyNumberFormat="1" applyFont="1" applyFill="1" applyBorder="1" applyAlignment="1" applyProtection="1">
      <alignment horizontal="center"/>
    </xf>
    <xf numFmtId="171" fontId="9" fillId="2" borderId="1" xfId="0" applyNumberFormat="1" applyFont="1" applyFill="1" applyBorder="1"/>
    <xf numFmtId="171" fontId="10" fillId="2" borderId="1" xfId="0" applyNumberFormat="1" applyFont="1" applyFill="1" applyBorder="1" applyAlignment="1" applyProtection="1">
      <alignment horizontal="center"/>
    </xf>
    <xf numFmtId="171" fontId="8" fillId="2" borderId="1" xfId="0" applyNumberFormat="1" applyFont="1" applyFill="1" applyBorder="1" applyAlignment="1" applyProtection="1">
      <alignment horizontal="center"/>
    </xf>
    <xf numFmtId="171" fontId="7" fillId="2" borderId="0" xfId="0" applyNumberFormat="1" applyFont="1" applyFill="1" applyAlignment="1" applyProtection="1">
      <alignment horizontal="center"/>
    </xf>
    <xf numFmtId="171" fontId="7" fillId="2" borderId="0" xfId="0" applyNumberFormat="1" applyFont="1" applyFill="1" applyProtection="1"/>
    <xf numFmtId="166" fontId="7" fillId="2" borderId="0" xfId="0" applyNumberFormat="1" applyFont="1" applyFill="1" applyProtection="1"/>
    <xf numFmtId="169" fontId="7" fillId="2" borderId="0" xfId="0" applyNumberFormat="1" applyFont="1" applyFill="1" applyProtection="1"/>
    <xf numFmtId="170" fontId="7" fillId="2" borderId="0" xfId="0" applyNumberFormat="1" applyFont="1" applyFill="1" applyProtection="1"/>
    <xf numFmtId="171" fontId="7" fillId="2" borderId="1" xfId="0" applyNumberFormat="1" applyFont="1" applyFill="1" applyBorder="1" applyAlignment="1" applyProtection="1">
      <alignment horizontal="center"/>
    </xf>
    <xf numFmtId="171" fontId="7" fillId="2" borderId="1" xfId="0" applyNumberFormat="1" applyFont="1" applyFill="1" applyBorder="1" applyProtection="1"/>
    <xf numFmtId="166" fontId="7" fillId="2" borderId="1" xfId="0" applyNumberFormat="1" applyFont="1" applyFill="1" applyBorder="1" applyProtection="1"/>
    <xf numFmtId="169" fontId="7" fillId="2" borderId="1" xfId="0" applyNumberFormat="1" applyFont="1" applyFill="1" applyBorder="1" applyProtection="1"/>
    <xf numFmtId="170" fontId="7" fillId="2" borderId="1" xfId="0" applyNumberFormat="1" applyFont="1" applyFill="1" applyBorder="1" applyProtection="1"/>
    <xf numFmtId="171" fontId="12" fillId="0" borderId="0" xfId="0" applyNumberFormat="1" applyFont="1" applyFill="1"/>
    <xf numFmtId="171" fontId="7" fillId="0" borderId="0" xfId="0" quotePrefix="1" applyNumberFormat="1" applyFont="1" applyFill="1" applyAlignment="1" applyProtection="1">
      <alignment horizontal="right"/>
    </xf>
    <xf numFmtId="171" fontId="13" fillId="0" borderId="0" xfId="0" applyNumberFormat="1" applyFont="1" applyFill="1" applyAlignment="1" applyProtection="1">
      <alignment horizontal="center"/>
    </xf>
    <xf numFmtId="171" fontId="7" fillId="0" borderId="0" xfId="0" applyNumberFormat="1" applyFont="1" applyFill="1" applyAlignment="1" applyProtection="1">
      <alignment horizontal="right"/>
    </xf>
    <xf numFmtId="171" fontId="14" fillId="0" borderId="0" xfId="0" quotePrefix="1" applyNumberFormat="1" applyFont="1" applyFill="1" applyAlignment="1" applyProtection="1">
      <alignment horizontal="left"/>
    </xf>
    <xf numFmtId="171" fontId="7" fillId="0" borderId="0" xfId="0" quotePrefix="1" applyNumberFormat="1" applyFont="1" applyFill="1" applyAlignment="1" applyProtection="1">
      <alignment horizontal="left"/>
    </xf>
    <xf numFmtId="171" fontId="7" fillId="0" borderId="0" xfId="0" applyNumberFormat="1" applyFont="1" applyFill="1"/>
    <xf numFmtId="171" fontId="15" fillId="0" borderId="0" xfId="0" applyNumberFormat="1" applyFont="1" applyFill="1" applyBorder="1" applyAlignment="1" applyProtection="1">
      <alignment horizontal="center"/>
    </xf>
    <xf numFmtId="170" fontId="2" fillId="2" borderId="0" xfId="0" applyNumberFormat="1" applyFont="1" applyFill="1"/>
    <xf numFmtId="3" fontId="7" fillId="3" borderId="0" xfId="0" applyNumberFormat="1" applyFont="1" applyFill="1" applyAlignment="1" applyProtection="1">
      <alignment horizontal="right"/>
      <protection locked="0"/>
    </xf>
    <xf numFmtId="166" fontId="7" fillId="0" borderId="0" xfId="0" applyNumberFormat="1" applyFont="1" applyFill="1" applyBorder="1" applyAlignment="1" applyProtection="1">
      <alignment horizontal="right"/>
    </xf>
    <xf numFmtId="171" fontId="12" fillId="0" borderId="0" xfId="0" applyNumberFormat="1" applyFont="1"/>
    <xf numFmtId="166" fontId="7" fillId="0" borderId="0" xfId="0" applyNumberFormat="1" applyFont="1" applyFill="1" applyBorder="1" applyProtection="1"/>
    <xf numFmtId="171" fontId="16" fillId="0" borderId="0" xfId="0" applyNumberFormat="1" applyFont="1" applyAlignment="1" applyProtection="1">
      <alignment horizontal="left"/>
    </xf>
    <xf numFmtId="171" fontId="20" fillId="2" borderId="2" xfId="0" applyNumberFormat="1" applyFont="1" applyFill="1" applyBorder="1"/>
    <xf numFmtId="171" fontId="21" fillId="2" borderId="1" xfId="0" applyNumberFormat="1" applyFont="1" applyFill="1" applyBorder="1" applyAlignment="1" applyProtection="1">
      <alignment horizontal="center"/>
    </xf>
    <xf numFmtId="171" fontId="8" fillId="2" borderId="1" xfId="0" quotePrefix="1" applyNumberFormat="1" applyFont="1" applyFill="1" applyBorder="1" applyAlignment="1" applyProtection="1">
      <alignment horizontal="center"/>
    </xf>
    <xf numFmtId="171" fontId="24" fillId="2" borderId="1" xfId="0" applyNumberFormat="1" applyFont="1" applyFill="1" applyBorder="1" applyAlignment="1" applyProtection="1">
      <alignment horizontal="center"/>
    </xf>
    <xf numFmtId="166" fontId="8" fillId="2" borderId="1" xfId="0" applyNumberFormat="1" applyFont="1" applyFill="1" applyBorder="1" applyAlignment="1" applyProtection="1">
      <alignment horizontal="center"/>
    </xf>
    <xf numFmtId="166" fontId="7" fillId="0" borderId="0" xfId="0" applyNumberFormat="1" applyFont="1" applyFill="1" applyBorder="1" applyAlignment="1" applyProtection="1">
      <alignment horizontal="center"/>
    </xf>
    <xf numFmtId="171" fontId="10" fillId="2" borderId="0" xfId="0" applyNumberFormat="1" applyFont="1" applyFill="1" applyBorder="1" applyAlignment="1" applyProtection="1">
      <alignment horizontal="center"/>
    </xf>
    <xf numFmtId="171" fontId="7" fillId="2" borderId="0" xfId="0" quotePrefix="1" applyNumberFormat="1" applyFont="1" applyFill="1" applyAlignment="1" applyProtection="1">
      <alignment horizontal="center"/>
    </xf>
    <xf numFmtId="171" fontId="21" fillId="2" borderId="0" xfId="0" applyNumberFormat="1" applyFont="1" applyFill="1" applyBorder="1" applyAlignment="1" applyProtection="1">
      <alignment horizontal="center"/>
    </xf>
    <xf numFmtId="171" fontId="8" fillId="2" borderId="0" xfId="0" quotePrefix="1" applyNumberFormat="1" applyFont="1" applyFill="1" applyBorder="1" applyAlignment="1" applyProtection="1">
      <alignment horizontal="center"/>
    </xf>
    <xf numFmtId="171" fontId="24" fillId="2" borderId="0" xfId="0" applyNumberFormat="1" applyFont="1" applyFill="1" applyBorder="1" applyAlignment="1" applyProtection="1">
      <alignment horizontal="center"/>
    </xf>
    <xf numFmtId="166" fontId="8" fillId="2" borderId="0" xfId="0" applyNumberFormat="1" applyFont="1" applyFill="1" applyBorder="1" applyAlignment="1" applyProtection="1">
      <alignment horizontal="center"/>
    </xf>
    <xf numFmtId="171" fontId="9" fillId="2" borderId="0" xfId="0" applyNumberFormat="1" applyFont="1" applyFill="1" applyBorder="1"/>
    <xf numFmtId="171" fontId="20" fillId="2" borderId="1" xfId="0" applyNumberFormat="1" applyFont="1" applyFill="1" applyBorder="1"/>
    <xf numFmtId="170" fontId="15" fillId="0" borderId="0" xfId="0" applyNumberFormat="1" applyFont="1" applyFill="1" applyBorder="1" applyProtection="1"/>
    <xf numFmtId="170" fontId="7" fillId="2" borderId="0" xfId="0" applyNumberFormat="1" applyFont="1" applyFill="1" applyBorder="1" applyProtection="1"/>
    <xf numFmtId="171" fontId="7" fillId="0" borderId="0" xfId="0" quotePrefix="1" applyNumberFormat="1" applyFont="1" applyAlignment="1" applyProtection="1">
      <alignment horizontal="left"/>
    </xf>
    <xf numFmtId="170" fontId="7" fillId="0" borderId="0" xfId="0" applyNumberFormat="1" applyFont="1" applyProtection="1"/>
    <xf numFmtId="166" fontId="7" fillId="2" borderId="0" xfId="0" applyNumberFormat="1" applyFont="1" applyFill="1" applyBorder="1" applyProtection="1"/>
    <xf numFmtId="166" fontId="2" fillId="0" borderId="0" xfId="0" applyFont="1" applyBorder="1" applyAlignment="1" applyProtection="1">
      <alignment horizontal="center"/>
    </xf>
    <xf numFmtId="171" fontId="2" fillId="0" borderId="0" xfId="0" applyNumberFormat="1" applyFont="1" applyBorder="1" applyProtection="1"/>
    <xf numFmtId="166" fontId="2" fillId="2" borderId="0" xfId="0" applyFont="1" applyFill="1"/>
    <xf numFmtId="170" fontId="3" fillId="2" borderId="0" xfId="0" applyNumberFormat="1" applyFont="1" applyFill="1" applyProtection="1">
      <protection locked="0"/>
    </xf>
    <xf numFmtId="166" fontId="2" fillId="2" borderId="0" xfId="0" applyFont="1" applyFill="1" applyAlignment="1" applyProtection="1">
      <alignment horizontal="center"/>
    </xf>
    <xf numFmtId="166" fontId="2" fillId="2" borderId="0" xfId="0" applyNumberFormat="1" applyFont="1" applyFill="1" applyProtection="1"/>
    <xf numFmtId="166" fontId="2" fillId="2" borderId="1" xfId="0" applyFont="1" applyFill="1" applyBorder="1" applyAlignment="1" applyProtection="1">
      <alignment horizontal="center"/>
    </xf>
    <xf numFmtId="166" fontId="2" fillId="2" borderId="1" xfId="0" applyFont="1" applyFill="1" applyBorder="1"/>
    <xf numFmtId="170" fontId="2" fillId="2" borderId="1" xfId="0" applyNumberFormat="1" applyFont="1" applyFill="1" applyBorder="1"/>
    <xf numFmtId="171" fontId="7" fillId="2" borderId="0" xfId="0" applyNumberFormat="1" applyFont="1" applyFill="1" applyBorder="1" applyAlignment="1" applyProtection="1">
      <alignment horizontal="center"/>
    </xf>
    <xf numFmtId="171" fontId="7" fillId="2" borderId="0" xfId="0" applyNumberFormat="1" applyFont="1" applyFill="1" applyBorder="1" applyProtection="1"/>
    <xf numFmtId="169" fontId="7" fillId="2" borderId="0" xfId="0" applyNumberFormat="1" applyFont="1" applyFill="1" applyBorder="1" applyProtection="1"/>
    <xf numFmtId="170" fontId="3" fillId="2" borderId="0" xfId="0" applyNumberFormat="1" applyFont="1" applyFill="1" applyBorder="1" applyProtection="1">
      <protection locked="0"/>
    </xf>
    <xf numFmtId="166" fontId="2" fillId="2" borderId="0" xfId="0" applyFont="1" applyFill="1" applyBorder="1"/>
    <xf numFmtId="171" fontId="7" fillId="0" borderId="0" xfId="0" applyNumberFormat="1" applyFont="1" applyFill="1" applyBorder="1"/>
    <xf numFmtId="166" fontId="2" fillId="0" borderId="0" xfId="0" applyFont="1" applyFill="1" applyBorder="1"/>
    <xf numFmtId="166" fontId="2" fillId="0" borderId="0" xfId="0" applyFont="1" applyFill="1" applyBorder="1" applyAlignment="1" applyProtection="1">
      <alignment horizontal="center"/>
    </xf>
    <xf numFmtId="170" fontId="2" fillId="2" borderId="2" xfId="0" applyNumberFormat="1" applyFont="1" applyFill="1" applyBorder="1"/>
    <xf numFmtId="166" fontId="2" fillId="2" borderId="2" xfId="0" applyFont="1" applyFill="1" applyBorder="1"/>
    <xf numFmtId="171" fontId="8" fillId="0" borderId="0" xfId="0" applyNumberFormat="1" applyFont="1" applyFill="1" applyBorder="1" applyAlignment="1" applyProtection="1">
      <alignment horizontal="center"/>
    </xf>
    <xf numFmtId="166" fontId="2" fillId="2" borderId="0" xfId="0" applyFont="1" applyFill="1" applyBorder="1" applyAlignment="1" applyProtection="1">
      <alignment horizontal="center"/>
    </xf>
    <xf numFmtId="168" fontId="2" fillId="2" borderId="0" xfId="0" applyNumberFormat="1" applyFont="1" applyFill="1" applyBorder="1" applyProtection="1"/>
    <xf numFmtId="166" fontId="2" fillId="2" borderId="0" xfId="0" applyNumberFormat="1" applyFont="1" applyFill="1" applyBorder="1" applyProtection="1"/>
    <xf numFmtId="169" fontId="2" fillId="2" borderId="1" xfId="0" applyNumberFormat="1" applyFont="1" applyFill="1" applyBorder="1" applyProtection="1"/>
    <xf numFmtId="171" fontId="7" fillId="2" borderId="1" xfId="0" applyNumberFormat="1" applyFont="1" applyFill="1" applyBorder="1"/>
    <xf numFmtId="170" fontId="3" fillId="2" borderId="2" xfId="0" applyNumberFormat="1" applyFont="1" applyFill="1" applyBorder="1" applyProtection="1">
      <protection locked="0"/>
    </xf>
    <xf numFmtId="166" fontId="2" fillId="2" borderId="0" xfId="0" applyNumberFormat="1" applyFont="1" applyFill="1" applyBorder="1"/>
    <xf numFmtId="173" fontId="1" fillId="2" borderId="1" xfId="0" applyNumberFormat="1" applyFont="1" applyFill="1" applyBorder="1" applyProtection="1"/>
    <xf numFmtId="172" fontId="1" fillId="2" borderId="1" xfId="0" applyNumberFormat="1" applyFont="1" applyFill="1" applyBorder="1" applyProtection="1"/>
    <xf numFmtId="171" fontId="7" fillId="0" borderId="0" xfId="0" applyNumberFormat="1" applyFont="1" applyAlignment="1">
      <alignment horizontal="right"/>
    </xf>
    <xf numFmtId="171" fontId="0" fillId="0" borderId="0" xfId="0" applyNumberFormat="1"/>
    <xf numFmtId="171" fontId="26" fillId="2" borderId="1" xfId="0" quotePrefix="1" applyNumberFormat="1" applyFont="1" applyFill="1" applyBorder="1" applyAlignment="1" applyProtection="1">
      <alignment horizontal="center"/>
    </xf>
    <xf numFmtId="171" fontId="0" fillId="2" borderId="1" xfId="0" applyNumberFormat="1" applyFill="1" applyBorder="1"/>
    <xf numFmtId="171" fontId="7" fillId="2" borderId="1" xfId="0" quotePrefix="1" applyNumberFormat="1" applyFont="1" applyFill="1" applyBorder="1" applyAlignment="1" applyProtection="1">
      <alignment horizontal="center"/>
    </xf>
    <xf numFmtId="171" fontId="0" fillId="0" borderId="0" xfId="0" applyNumberFormat="1" applyFill="1"/>
    <xf numFmtId="171" fontId="27" fillId="0" borderId="0" xfId="0" applyNumberFormat="1" applyFont="1" applyFill="1" applyBorder="1" applyAlignment="1" applyProtection="1">
      <alignment horizontal="right"/>
    </xf>
    <xf numFmtId="171" fontId="7" fillId="0" borderId="0" xfId="0" quotePrefix="1" applyNumberFormat="1" applyFont="1" applyFill="1" applyBorder="1" applyAlignment="1" applyProtection="1">
      <alignment horizontal="left"/>
    </xf>
    <xf numFmtId="171" fontId="0" fillId="0" borderId="0" xfId="0" applyNumberFormat="1" applyFill="1" applyBorder="1"/>
    <xf numFmtId="171" fontId="28" fillId="0" borderId="0" xfId="0" applyNumberFormat="1" applyFont="1" applyAlignment="1">
      <alignment horizontal="right"/>
    </xf>
    <xf numFmtId="166" fontId="7" fillId="2" borderId="0" xfId="3" applyNumberFormat="1" applyFont="1" applyFill="1" applyProtection="1"/>
    <xf numFmtId="171" fontId="4" fillId="0" borderId="0" xfId="0" applyNumberFormat="1" applyFont="1"/>
    <xf numFmtId="171" fontId="7" fillId="2" borderId="1" xfId="0" applyNumberFormat="1" applyFont="1" applyFill="1" applyBorder="1" applyAlignment="1" applyProtection="1">
      <alignment horizontal="right"/>
    </xf>
    <xf numFmtId="171" fontId="13" fillId="2" borderId="1" xfId="0" applyNumberFormat="1" applyFont="1" applyFill="1" applyBorder="1" applyAlignment="1" applyProtection="1">
      <alignment horizontal="center"/>
    </xf>
    <xf numFmtId="171" fontId="14" fillId="2" borderId="1" xfId="0" quotePrefix="1" applyNumberFormat="1" applyFont="1" applyFill="1" applyBorder="1" applyAlignment="1" applyProtection="1">
      <alignment horizontal="left"/>
    </xf>
    <xf numFmtId="171" fontId="7" fillId="2" borderId="1" xfId="0" quotePrefix="1" applyNumberFormat="1" applyFont="1" applyFill="1" applyBorder="1" applyAlignment="1" applyProtection="1">
      <alignment horizontal="left"/>
    </xf>
    <xf numFmtId="166" fontId="7" fillId="2" borderId="0" xfId="3" applyNumberFormat="1" applyFont="1" applyFill="1" applyBorder="1" applyProtection="1"/>
    <xf numFmtId="174" fontId="7" fillId="2" borderId="1" xfId="0" applyNumberFormat="1" applyFont="1" applyFill="1" applyBorder="1" applyProtection="1"/>
    <xf numFmtId="171" fontId="26" fillId="2" borderId="0" xfId="0" quotePrefix="1" applyNumberFormat="1" applyFont="1" applyFill="1" applyBorder="1" applyAlignment="1" applyProtection="1">
      <alignment horizontal="center"/>
    </xf>
    <xf numFmtId="171" fontId="0" fillId="2" borderId="0" xfId="0" applyNumberFormat="1" applyFill="1" applyBorder="1"/>
    <xf numFmtId="168" fontId="7" fillId="2" borderId="0" xfId="0" applyNumberFormat="1" applyFont="1" applyFill="1" applyBorder="1" applyProtection="1"/>
    <xf numFmtId="166" fontId="7" fillId="0" borderId="0" xfId="0" applyFont="1" applyAlignment="1" applyProtection="1">
      <alignment horizontal="center"/>
    </xf>
    <xf numFmtId="2" fontId="7" fillId="0" borderId="0" xfId="0" applyNumberFormat="1" applyFont="1" applyProtection="1"/>
    <xf numFmtId="166" fontId="7" fillId="2" borderId="0" xfId="0" applyFont="1" applyFill="1" applyAlignment="1" applyProtection="1">
      <alignment horizontal="center"/>
    </xf>
    <xf numFmtId="166" fontId="7" fillId="2" borderId="0" xfId="0" applyFont="1" applyFill="1" applyBorder="1"/>
    <xf numFmtId="166" fontId="7" fillId="0" borderId="0" xfId="0" applyFont="1"/>
    <xf numFmtId="170" fontId="7" fillId="0" borderId="0" xfId="0" applyNumberFormat="1" applyFont="1"/>
    <xf numFmtId="166" fontId="7" fillId="2" borderId="0" xfId="0" applyFont="1" applyFill="1" applyProtection="1"/>
    <xf numFmtId="174" fontId="7" fillId="2" borderId="0" xfId="0" applyNumberFormat="1" applyFont="1" applyFill="1" applyProtection="1"/>
    <xf numFmtId="166" fontId="7" fillId="2" borderId="1" xfId="0" applyFont="1" applyFill="1" applyBorder="1" applyAlignment="1" applyProtection="1">
      <alignment horizontal="center"/>
    </xf>
    <xf numFmtId="166" fontId="7" fillId="2" borderId="1" xfId="0" applyFont="1" applyFill="1" applyBorder="1" applyProtection="1"/>
    <xf numFmtId="166" fontId="7" fillId="0" borderId="0" xfId="0" applyFont="1" applyFill="1" applyBorder="1"/>
    <xf numFmtId="170" fontId="7" fillId="2" borderId="2" xfId="0" applyNumberFormat="1" applyFont="1" applyFill="1" applyBorder="1"/>
    <xf numFmtId="170" fontId="29" fillId="2" borderId="0" xfId="0" applyNumberFormat="1" applyFont="1" applyFill="1" applyBorder="1" applyProtection="1">
      <protection locked="0"/>
    </xf>
    <xf numFmtId="170" fontId="29" fillId="2" borderId="2" xfId="0" applyNumberFormat="1" applyFont="1" applyFill="1" applyBorder="1" applyProtection="1">
      <protection locked="0"/>
    </xf>
    <xf numFmtId="166" fontId="7" fillId="2" borderId="2" xfId="0" applyFont="1" applyFill="1" applyBorder="1"/>
    <xf numFmtId="166" fontId="7" fillId="2" borderId="0" xfId="0" applyFont="1" applyFill="1"/>
    <xf numFmtId="166" fontId="7" fillId="2" borderId="0" xfId="0" applyFont="1" applyFill="1" applyBorder="1" applyAlignment="1" applyProtection="1">
      <alignment horizontal="center"/>
    </xf>
    <xf numFmtId="166" fontId="7" fillId="2" borderId="0" xfId="0" applyNumberFormat="1" applyFont="1" applyFill="1" applyBorder="1"/>
    <xf numFmtId="171" fontId="25" fillId="2" borderId="1" xfId="0" applyNumberFormat="1" applyFont="1" applyFill="1" applyBorder="1"/>
    <xf numFmtId="170" fontId="25" fillId="0" borderId="0" xfId="0" applyNumberFormat="1" applyFont="1"/>
    <xf numFmtId="170" fontId="25" fillId="2" borderId="1" xfId="0" applyNumberFormat="1" applyFont="1" applyFill="1" applyBorder="1"/>
    <xf numFmtId="170" fontId="25" fillId="2" borderId="2" xfId="0" applyNumberFormat="1" applyFont="1" applyFill="1" applyBorder="1"/>
    <xf numFmtId="0" fontId="7" fillId="0" borderId="0" xfId="0" applyNumberFormat="1" applyFont="1" applyAlignment="1">
      <alignment horizontal="right"/>
    </xf>
    <xf numFmtId="171" fontId="8" fillId="2" borderId="2" xfId="0" applyNumberFormat="1" applyFont="1" applyFill="1" applyBorder="1" applyAlignment="1">
      <alignment horizontal="center"/>
    </xf>
    <xf numFmtId="171" fontId="8" fillId="2" borderId="0" xfId="0" applyNumberFormat="1" applyFont="1" applyFill="1" applyBorder="1" applyAlignment="1">
      <alignment horizontal="center"/>
    </xf>
    <xf numFmtId="167" fontId="7" fillId="2" borderId="0" xfId="0" applyNumberFormat="1" applyFont="1" applyFill="1" applyAlignment="1" applyProtection="1">
      <alignment horizontal="center"/>
    </xf>
    <xf numFmtId="167" fontId="7" fillId="2" borderId="1" xfId="0" applyNumberFormat="1" applyFont="1" applyFill="1" applyBorder="1" applyAlignment="1" applyProtection="1">
      <alignment horizontal="center"/>
    </xf>
    <xf numFmtId="166" fontId="7" fillId="2" borderId="2" xfId="0" applyNumberFormat="1" applyFont="1" applyFill="1" applyBorder="1" applyProtection="1"/>
    <xf numFmtId="171" fontId="33" fillId="0" borderId="0" xfId="5" applyFont="1"/>
    <xf numFmtId="171" fontId="12" fillId="0" borderId="0" xfId="5" applyFont="1"/>
    <xf numFmtId="171" fontId="12" fillId="0" borderId="0" xfId="5" applyFont="1" applyFill="1"/>
    <xf numFmtId="0" fontId="35" fillId="0" borderId="0" xfId="6" applyFont="1" applyFill="1" applyAlignment="1" applyProtection="1">
      <alignment horizontal="left"/>
    </xf>
    <xf numFmtId="171" fontId="12" fillId="0" borderId="0" xfId="5" applyFont="1" applyAlignment="1">
      <alignment wrapText="1"/>
    </xf>
    <xf numFmtId="14" fontId="12" fillId="0" borderId="0" xfId="5" applyNumberFormat="1" applyFont="1"/>
    <xf numFmtId="14" fontId="12" fillId="0" borderId="0" xfId="5" applyNumberFormat="1" applyFont="1" applyAlignment="1">
      <alignment wrapText="1"/>
    </xf>
    <xf numFmtId="171" fontId="12" fillId="0" borderId="0" xfId="5" applyFont="1" applyBorder="1"/>
    <xf numFmtId="171" fontId="12" fillId="0" borderId="0" xfId="5" applyFont="1" applyBorder="1" applyProtection="1">
      <protection hidden="1"/>
    </xf>
    <xf numFmtId="171" fontId="28" fillId="0" borderId="0" xfId="5" applyFont="1" applyBorder="1"/>
    <xf numFmtId="173" fontId="32" fillId="0" borderId="0" xfId="5" applyNumberFormat="1" applyBorder="1" applyProtection="1">
      <protection hidden="1"/>
    </xf>
    <xf numFmtId="173" fontId="12" fillId="0" borderId="0" xfId="5" applyNumberFormat="1" applyFont="1" applyBorder="1"/>
    <xf numFmtId="173" fontId="32" fillId="0" borderId="0" xfId="5" applyNumberFormat="1" applyBorder="1"/>
    <xf numFmtId="171" fontId="7" fillId="6" borderId="0" xfId="0" applyNumberFormat="1" applyFont="1" applyFill="1" applyAlignment="1" applyProtection="1">
      <alignment horizontal="center"/>
    </xf>
    <xf numFmtId="166" fontId="7" fillId="6" borderId="0" xfId="3" applyNumberFormat="1" applyFont="1" applyFill="1" applyProtection="1"/>
    <xf numFmtId="171" fontId="12" fillId="0" borderId="0" xfId="0" applyNumberFormat="1" applyFont="1" applyProtection="1"/>
    <xf numFmtId="171" fontId="8" fillId="2" borderId="2" xfId="0" applyNumberFormat="1" applyFont="1" applyFill="1" applyBorder="1" applyProtection="1"/>
    <xf numFmtId="171" fontId="8" fillId="2" borderId="0" xfId="0" applyNumberFormat="1" applyFont="1" applyFill="1" applyBorder="1" applyProtection="1"/>
    <xf numFmtId="3" fontId="7" fillId="2" borderId="0" xfId="0" applyNumberFormat="1" applyFont="1" applyFill="1" applyProtection="1"/>
    <xf numFmtId="3" fontId="7" fillId="2" borderId="1" xfId="0" applyNumberFormat="1" applyFont="1" applyFill="1" applyBorder="1" applyProtection="1"/>
    <xf numFmtId="171" fontId="7" fillId="0" borderId="0" xfId="0" applyNumberFormat="1" applyFont="1" applyAlignment="1" applyProtection="1">
      <alignment horizontal="center"/>
    </xf>
    <xf numFmtId="171" fontId="7" fillId="0" borderId="0" xfId="0" applyNumberFormat="1" applyFont="1" applyFill="1" applyProtection="1"/>
    <xf numFmtId="171" fontId="0" fillId="0" borderId="0" xfId="0" applyNumberFormat="1" applyProtection="1"/>
    <xf numFmtId="171" fontId="42" fillId="0" borderId="0" xfId="0" applyNumberFormat="1" applyFont="1" applyAlignment="1" applyProtection="1">
      <alignment horizontal="right" vertical="center"/>
    </xf>
    <xf numFmtId="2" fontId="7" fillId="2" borderId="0" xfId="1" applyNumberFormat="1" applyFont="1" applyFill="1" applyProtection="1"/>
    <xf numFmtId="171" fontId="44" fillId="0" borderId="0" xfId="0" applyNumberFormat="1" applyFont="1" applyProtection="1"/>
    <xf numFmtId="165" fontId="7" fillId="0" borderId="0" xfId="1" applyFont="1" applyFill="1" applyProtection="1"/>
    <xf numFmtId="166" fontId="7" fillId="2" borderId="0" xfId="2" applyFont="1" applyFill="1" applyProtection="1"/>
    <xf numFmtId="3" fontId="7" fillId="2" borderId="1" xfId="0" applyNumberFormat="1" applyFont="1" applyFill="1" applyBorder="1" applyAlignment="1" applyProtection="1">
      <alignment horizontal="right"/>
    </xf>
    <xf numFmtId="2" fontId="7" fillId="2" borderId="1" xfId="2" applyNumberFormat="1" applyFont="1" applyFill="1" applyBorder="1" applyProtection="1"/>
    <xf numFmtId="2" fontId="7" fillId="0" borderId="0" xfId="1" applyNumberFormat="1" applyFont="1" applyFill="1" applyProtection="1">
      <protection locked="0"/>
    </xf>
    <xf numFmtId="171" fontId="12" fillId="0" borderId="0" xfId="5" applyFont="1" applyAlignment="1">
      <alignment vertical="top"/>
    </xf>
    <xf numFmtId="171" fontId="12" fillId="0" borderId="0" xfId="5" applyFont="1" applyFill="1" applyAlignment="1">
      <alignment vertical="top"/>
    </xf>
    <xf numFmtId="171" fontId="12" fillId="0" borderId="0" xfId="5" applyFont="1" applyAlignment="1">
      <alignment vertical="top" wrapText="1"/>
    </xf>
    <xf numFmtId="171" fontId="36" fillId="0" borderId="0" xfId="5" applyFont="1" applyAlignment="1">
      <alignment vertical="top"/>
    </xf>
    <xf numFmtId="175" fontId="7" fillId="2" borderId="1" xfId="0" applyNumberFormat="1" applyFont="1" applyFill="1" applyBorder="1" applyProtection="1">
      <protection locked="0"/>
    </xf>
    <xf numFmtId="166" fontId="1" fillId="2" borderId="1" xfId="0" applyFont="1" applyFill="1" applyBorder="1" applyAlignment="1" applyProtection="1">
      <alignment horizontal="center"/>
    </xf>
    <xf numFmtId="168" fontId="7" fillId="2" borderId="0" xfId="0" applyNumberFormat="1" applyFont="1" applyFill="1" applyProtection="1"/>
    <xf numFmtId="168" fontId="7" fillId="2" borderId="1" xfId="0" applyNumberFormat="1" applyFont="1" applyFill="1" applyBorder="1" applyProtection="1"/>
    <xf numFmtId="171" fontId="0" fillId="2" borderId="0" xfId="0" applyNumberFormat="1" applyFill="1"/>
    <xf numFmtId="167" fontId="7" fillId="2" borderId="0" xfId="5" applyNumberFormat="1" applyFont="1" applyFill="1" applyBorder="1" applyAlignment="1" applyProtection="1">
      <alignment horizontal="center"/>
      <protection hidden="1"/>
    </xf>
    <xf numFmtId="166" fontId="7" fillId="2" borderId="0" xfId="5" applyNumberFormat="1" applyFont="1" applyFill="1" applyBorder="1" applyProtection="1">
      <protection hidden="1"/>
    </xf>
    <xf numFmtId="167" fontId="7" fillId="2" borderId="1" xfId="5" applyNumberFormat="1" applyFont="1" applyFill="1" applyBorder="1" applyAlignment="1" applyProtection="1">
      <alignment horizontal="center"/>
      <protection hidden="1"/>
    </xf>
    <xf numFmtId="166" fontId="7" fillId="2" borderId="1" xfId="5" applyNumberFormat="1" applyFont="1" applyFill="1" applyBorder="1" applyProtection="1">
      <protection hidden="1"/>
    </xf>
    <xf numFmtId="171" fontId="17" fillId="2" borderId="0" xfId="0" applyNumberFormat="1" applyFont="1" applyFill="1" applyBorder="1" applyAlignment="1" applyProtection="1">
      <alignment horizontal="center"/>
    </xf>
    <xf numFmtId="166" fontId="8" fillId="2" borderId="0" xfId="0" applyNumberFormat="1" applyFont="1" applyFill="1" applyBorder="1" applyProtection="1"/>
    <xf numFmtId="171" fontId="7" fillId="2" borderId="2" xfId="0" applyNumberFormat="1" applyFont="1" applyFill="1" applyBorder="1"/>
    <xf numFmtId="171" fontId="0" fillId="2" borderId="2" xfId="0" applyNumberFormat="1" applyFill="1" applyBorder="1"/>
    <xf numFmtId="168" fontId="7" fillId="2" borderId="0" xfId="0" applyNumberFormat="1" applyFont="1" applyFill="1" applyBorder="1"/>
    <xf numFmtId="168" fontId="7" fillId="2" borderId="1" xfId="0" applyNumberFormat="1" applyFont="1" applyFill="1" applyBorder="1"/>
    <xf numFmtId="171" fontId="7" fillId="2" borderId="0" xfId="0" quotePrefix="1" applyNumberFormat="1" applyFont="1" applyFill="1" applyBorder="1" applyAlignment="1">
      <alignment horizontal="center"/>
    </xf>
    <xf numFmtId="171" fontId="7" fillId="2" borderId="1" xfId="0" applyNumberFormat="1" applyFont="1" applyFill="1" applyBorder="1" applyAlignment="1">
      <alignment horizontal="center"/>
    </xf>
    <xf numFmtId="174" fontId="7" fillId="6" borderId="0" xfId="3" applyNumberFormat="1" applyFont="1" applyFill="1" applyProtection="1"/>
    <xf numFmtId="174" fontId="7" fillId="2" borderId="0" xfId="3" applyNumberFormat="1" applyFont="1" applyFill="1" applyProtection="1"/>
    <xf numFmtId="174" fontId="7" fillId="2" borderId="0" xfId="3" applyNumberFormat="1" applyFont="1" applyFill="1" applyBorder="1" applyProtection="1"/>
    <xf numFmtId="1" fontId="7" fillId="2" borderId="0" xfId="0" applyNumberFormat="1" applyFont="1" applyFill="1" applyAlignment="1" applyProtection="1">
      <alignment horizontal="center"/>
    </xf>
    <xf numFmtId="171" fontId="8" fillId="2" borderId="2" xfId="0" applyNumberFormat="1" applyFont="1" applyFill="1" applyBorder="1" applyAlignment="1" applyProtection="1">
      <alignment horizontal="center" wrapText="1"/>
    </xf>
    <xf numFmtId="171" fontId="16" fillId="0" borderId="0" xfId="0" quotePrefix="1" applyNumberFormat="1" applyFont="1" applyAlignment="1" applyProtection="1">
      <alignment horizontal="left"/>
    </xf>
    <xf numFmtId="171" fontId="12" fillId="0" borderId="0" xfId="0" applyNumberFormat="1" applyFont="1" applyAlignment="1">
      <alignment wrapText="1"/>
    </xf>
    <xf numFmtId="2" fontId="7" fillId="2" borderId="0" xfId="2" applyNumberFormat="1" applyFont="1" applyFill="1" applyBorder="1" applyProtection="1"/>
    <xf numFmtId="167" fontId="7" fillId="2" borderId="0" xfId="0" applyNumberFormat="1" applyFont="1" applyFill="1" applyBorder="1"/>
    <xf numFmtId="166" fontId="8" fillId="2" borderId="0" xfId="0" applyFont="1" applyFill="1" applyAlignment="1">
      <alignment horizontal="center" wrapText="1"/>
    </xf>
    <xf numFmtId="166" fontId="8" fillId="2" borderId="1" xfId="0" applyFont="1" applyFill="1" applyBorder="1" applyAlignment="1">
      <alignment horizontal="center" wrapText="1"/>
    </xf>
    <xf numFmtId="167" fontId="7" fillId="2" borderId="1" xfId="0" applyNumberFormat="1" applyFont="1" applyFill="1" applyBorder="1"/>
    <xf numFmtId="166" fontId="0" fillId="2" borderId="0" xfId="0" applyFill="1" applyAlignment="1">
      <alignment wrapText="1"/>
    </xf>
    <xf numFmtId="166" fontId="0" fillId="2" borderId="1" xfId="0" applyFill="1" applyBorder="1" applyAlignment="1">
      <alignment wrapText="1"/>
    </xf>
    <xf numFmtId="168" fontId="7" fillId="2" borderId="0" xfId="0" applyNumberFormat="1" applyFont="1" applyFill="1" applyProtection="1">
      <protection locked="0"/>
    </xf>
    <xf numFmtId="168" fontId="7" fillId="2" borderId="1" xfId="0" applyNumberFormat="1" applyFont="1" applyFill="1" applyBorder="1" applyProtection="1">
      <protection locked="0"/>
    </xf>
    <xf numFmtId="1" fontId="7" fillId="2" borderId="0" xfId="0" applyNumberFormat="1" applyFont="1" applyFill="1" applyProtection="1"/>
    <xf numFmtId="1" fontId="7" fillId="2" borderId="1" xfId="0" applyNumberFormat="1" applyFont="1" applyFill="1" applyBorder="1" applyProtection="1"/>
    <xf numFmtId="166" fontId="10" fillId="2" borderId="1" xfId="0" applyFont="1" applyFill="1" applyBorder="1" applyAlignment="1">
      <alignment horizontal="center" wrapText="1"/>
    </xf>
    <xf numFmtId="166" fontId="2" fillId="0" borderId="0" xfId="0" applyFont="1" applyFill="1"/>
    <xf numFmtId="171" fontId="8" fillId="0" borderId="0" xfId="0" applyNumberFormat="1" applyFont="1" applyFill="1" applyBorder="1" applyProtection="1"/>
    <xf numFmtId="3" fontId="7" fillId="0" borderId="0" xfId="0" applyNumberFormat="1" applyFont="1" applyFill="1" applyProtection="1"/>
    <xf numFmtId="3" fontId="7" fillId="0" borderId="0" xfId="0" applyNumberFormat="1" applyFont="1" applyFill="1" applyBorder="1" applyProtection="1"/>
    <xf numFmtId="3" fontId="7" fillId="3" borderId="0" xfId="0" applyNumberFormat="1" applyFont="1" applyFill="1" applyAlignment="1" applyProtection="1">
      <alignment horizontal="left"/>
      <protection locked="0"/>
    </xf>
    <xf numFmtId="14" fontId="7" fillId="0" borderId="0" xfId="0" applyNumberFormat="1" applyFont="1" applyFill="1" applyProtection="1">
      <protection locked="0"/>
    </xf>
    <xf numFmtId="170" fontId="7" fillId="0" borderId="0" xfId="0" applyNumberFormat="1" applyFont="1" applyFill="1"/>
    <xf numFmtId="14" fontId="7" fillId="0" borderId="0" xfId="0" applyNumberFormat="1" applyFont="1" applyProtection="1"/>
    <xf numFmtId="169" fontId="48" fillId="3" borderId="0" xfId="0" applyNumberFormat="1" applyFont="1" applyFill="1" applyAlignment="1" applyProtection="1">
      <alignment horizontal="right"/>
      <protection locked="0"/>
    </xf>
    <xf numFmtId="166" fontId="48" fillId="3" borderId="0" xfId="0" applyNumberFormat="1" applyFont="1" applyFill="1" applyAlignment="1" applyProtection="1">
      <alignment horizontal="right"/>
      <protection locked="0"/>
    </xf>
    <xf numFmtId="166" fontId="48" fillId="3" borderId="1" xfId="0" applyNumberFormat="1" applyFont="1" applyFill="1" applyBorder="1" applyAlignment="1" applyProtection="1">
      <alignment horizontal="right"/>
      <protection locked="0"/>
    </xf>
    <xf numFmtId="3" fontId="48" fillId="3" borderId="0" xfId="0" applyNumberFormat="1" applyFont="1" applyFill="1" applyProtection="1">
      <protection locked="0"/>
    </xf>
    <xf numFmtId="175" fontId="48" fillId="3" borderId="0" xfId="0" applyNumberFormat="1" applyFont="1" applyFill="1" applyProtection="1">
      <protection locked="0"/>
    </xf>
    <xf numFmtId="3" fontId="48" fillId="3" borderId="1" xfId="0" applyNumberFormat="1" applyFont="1" applyFill="1" applyBorder="1" applyProtection="1">
      <protection locked="0"/>
    </xf>
    <xf numFmtId="175" fontId="48" fillId="3" borderId="1" xfId="0" applyNumberFormat="1" applyFont="1" applyFill="1" applyBorder="1" applyProtection="1">
      <protection locked="0"/>
    </xf>
    <xf numFmtId="168" fontId="48" fillId="3" borderId="0" xfId="0" applyNumberFormat="1" applyFont="1" applyFill="1" applyProtection="1">
      <protection locked="0"/>
    </xf>
    <xf numFmtId="168" fontId="48" fillId="3" borderId="1" xfId="0" applyNumberFormat="1" applyFont="1" applyFill="1" applyBorder="1" applyProtection="1">
      <protection locked="0"/>
    </xf>
    <xf numFmtId="169" fontId="49" fillId="5" borderId="0" xfId="0" applyNumberFormat="1" applyFont="1" applyFill="1" applyBorder="1" applyProtection="1"/>
    <xf numFmtId="168" fontId="49" fillId="5" borderId="0" xfId="0" applyNumberFormat="1" applyFont="1" applyFill="1" applyProtection="1"/>
    <xf numFmtId="169" fontId="49" fillId="5" borderId="1" xfId="0" applyNumberFormat="1" applyFont="1" applyFill="1" applyBorder="1" applyProtection="1"/>
    <xf numFmtId="168" fontId="49" fillId="5" borderId="1" xfId="0" applyNumberFormat="1" applyFont="1" applyFill="1" applyBorder="1" applyProtection="1"/>
    <xf numFmtId="169" fontId="49" fillId="5" borderId="0" xfId="0" applyNumberFormat="1" applyFont="1" applyFill="1" applyProtection="1"/>
    <xf numFmtId="171" fontId="50" fillId="4" borderId="14" xfId="0" applyNumberFormat="1" applyFont="1" applyFill="1" applyBorder="1" applyAlignment="1" applyProtection="1">
      <alignment horizontal="right" vertical="center"/>
    </xf>
    <xf numFmtId="2" fontId="50" fillId="4" borderId="15" xfId="1" applyNumberFormat="1" applyFont="1" applyFill="1" applyBorder="1" applyProtection="1"/>
    <xf numFmtId="169" fontId="49" fillId="4" borderId="0" xfId="1" applyNumberFormat="1" applyFont="1" applyFill="1" applyBorder="1" applyProtection="1"/>
    <xf numFmtId="3" fontId="48" fillId="3" borderId="0" xfId="0" applyNumberFormat="1" applyFont="1" applyFill="1" applyAlignment="1" applyProtection="1">
      <alignment horizontal="right"/>
      <protection locked="0"/>
    </xf>
    <xf numFmtId="3" fontId="48" fillId="3" borderId="1" xfId="0" applyNumberFormat="1" applyFont="1" applyFill="1" applyBorder="1" applyAlignment="1" applyProtection="1">
      <alignment horizontal="right"/>
      <protection locked="0"/>
    </xf>
    <xf numFmtId="3" fontId="48" fillId="3" borderId="0" xfId="0" applyNumberFormat="1" applyFont="1" applyFill="1" applyBorder="1" applyProtection="1">
      <protection locked="0"/>
    </xf>
    <xf numFmtId="3" fontId="48" fillId="3" borderId="0" xfId="0" applyNumberFormat="1" applyFont="1" applyFill="1" applyBorder="1" applyAlignment="1" applyProtection="1">
      <alignment horizontal="right"/>
      <protection locked="0"/>
    </xf>
    <xf numFmtId="171" fontId="52" fillId="4" borderId="14" xfId="0" applyNumberFormat="1" applyFont="1" applyFill="1" applyBorder="1" applyAlignment="1" applyProtection="1">
      <alignment horizontal="right" vertical="center"/>
    </xf>
    <xf numFmtId="169" fontId="49" fillId="4" borderId="0" xfId="0" applyNumberFormat="1" applyFont="1" applyFill="1" applyBorder="1" applyAlignment="1" applyProtection="1">
      <alignment horizontal="right" vertical="center"/>
    </xf>
    <xf numFmtId="168" fontId="49" fillId="4" borderId="0" xfId="0" applyNumberFormat="1" applyFont="1" applyFill="1" applyBorder="1" applyAlignment="1" applyProtection="1">
      <alignment horizontal="right" vertical="center"/>
    </xf>
    <xf numFmtId="171" fontId="46" fillId="3" borderId="6" xfId="5" applyFont="1" applyFill="1" applyBorder="1" applyAlignment="1" applyProtection="1">
      <alignment horizontal="center"/>
      <protection locked="0"/>
    </xf>
    <xf numFmtId="171" fontId="46" fillId="3" borderId="8" xfId="5" applyFont="1" applyFill="1" applyBorder="1" applyAlignment="1" applyProtection="1">
      <alignment horizontal="center"/>
      <protection locked="0"/>
    </xf>
    <xf numFmtId="171" fontId="47" fillId="3" borderId="8" xfId="5" applyFont="1" applyFill="1" applyBorder="1" applyAlignment="1" applyProtection="1">
      <alignment horizontal="center"/>
      <protection locked="0"/>
    </xf>
    <xf numFmtId="14" fontId="46" fillId="3" borderId="10" xfId="5" applyNumberFormat="1" applyFont="1" applyFill="1" applyBorder="1" applyAlignment="1" applyProtection="1">
      <alignment horizontal="center"/>
      <protection locked="0"/>
    </xf>
    <xf numFmtId="166" fontId="12" fillId="0" borderId="0" xfId="3" applyFont="1" applyAlignment="1">
      <alignment vertical="top" wrapText="1"/>
    </xf>
    <xf numFmtId="166" fontId="12" fillId="0" borderId="5" xfId="3" applyFont="1" applyFill="1" applyBorder="1"/>
    <xf numFmtId="166" fontId="12" fillId="0" borderId="7" xfId="3" applyFont="1" applyFill="1" applyBorder="1"/>
    <xf numFmtId="166" fontId="12" fillId="0" borderId="9" xfId="3" applyFont="1" applyFill="1" applyBorder="1" applyAlignment="1">
      <alignment wrapText="1"/>
    </xf>
    <xf numFmtId="166" fontId="12" fillId="0" borderId="0" xfId="0" applyFont="1" applyFill="1" applyAlignment="1">
      <alignment vertical="top" wrapText="1"/>
    </xf>
    <xf numFmtId="171" fontId="16" fillId="0" borderId="0" xfId="5" applyFont="1"/>
    <xf numFmtId="166" fontId="8" fillId="2" borderId="13" xfId="0" applyFont="1" applyFill="1" applyBorder="1" applyAlignment="1">
      <alignment horizontal="center"/>
    </xf>
    <xf numFmtId="171" fontId="8" fillId="2" borderId="13" xfId="5" applyFont="1" applyFill="1" applyBorder="1" applyAlignment="1" applyProtection="1">
      <alignment horizontal="center"/>
      <protection hidden="1"/>
    </xf>
    <xf numFmtId="171" fontId="8" fillId="2" borderId="13" xfId="5" applyFont="1" applyFill="1" applyBorder="1" applyAlignment="1" applyProtection="1">
      <protection hidden="1"/>
    </xf>
    <xf numFmtId="166" fontId="7" fillId="0" borderId="0" xfId="0" applyFont="1" applyProtection="1"/>
    <xf numFmtId="166" fontId="7" fillId="0" borderId="0" xfId="0" applyFont="1" applyAlignment="1" applyProtection="1">
      <alignment horizontal="right"/>
    </xf>
    <xf numFmtId="166" fontId="16" fillId="0" borderId="0" xfId="0" quotePrefix="1" applyFont="1" applyAlignment="1" applyProtection="1">
      <alignment horizontal="left"/>
    </xf>
    <xf numFmtId="166" fontId="12" fillId="2" borderId="2" xfId="0" applyFont="1" applyFill="1" applyBorder="1" applyProtection="1"/>
    <xf numFmtId="166" fontId="7" fillId="2" borderId="2" xfId="0" applyFont="1" applyFill="1" applyBorder="1" applyProtection="1"/>
    <xf numFmtId="166" fontId="8" fillId="2" borderId="0" xfId="0" applyFont="1" applyFill="1" applyBorder="1" applyAlignment="1" applyProtection="1">
      <alignment horizontal="center"/>
    </xf>
    <xf numFmtId="166" fontId="8" fillId="2" borderId="0" xfId="0" applyFont="1" applyFill="1" applyBorder="1" applyAlignment="1" applyProtection="1">
      <alignment horizontal="center" wrapText="1"/>
    </xf>
    <xf numFmtId="166" fontId="8" fillId="2" borderId="1" xfId="0" applyFont="1" applyFill="1" applyBorder="1" applyAlignment="1" applyProtection="1">
      <alignment horizontal="center"/>
    </xf>
    <xf numFmtId="166" fontId="42" fillId="0" borderId="1" xfId="0" applyFont="1" applyBorder="1" applyAlignment="1" applyProtection="1">
      <alignment horizontal="center" wrapText="1"/>
    </xf>
    <xf numFmtId="166" fontId="8" fillId="2" borderId="1" xfId="0" quotePrefix="1" applyFont="1" applyFill="1" applyBorder="1" applyAlignment="1" applyProtection="1">
      <alignment horizontal="center"/>
    </xf>
    <xf numFmtId="171" fontId="16" fillId="2" borderId="2" xfId="0" applyNumberFormat="1" applyFont="1" applyFill="1" applyBorder="1" applyAlignment="1">
      <alignment horizontal="center"/>
    </xf>
    <xf numFmtId="166" fontId="8" fillId="2" borderId="2" xfId="0" applyFont="1" applyFill="1" applyBorder="1" applyAlignment="1" applyProtection="1">
      <alignment horizontal="center"/>
    </xf>
    <xf numFmtId="166" fontId="28" fillId="0" borderId="0" xfId="0" applyFont="1" applyAlignment="1" applyProtection="1">
      <alignment horizontal="right"/>
    </xf>
    <xf numFmtId="166" fontId="6" fillId="0" borderId="0" xfId="0" applyFont="1" applyAlignment="1" applyProtection="1">
      <alignment horizontal="left"/>
    </xf>
    <xf numFmtId="166" fontId="12" fillId="0" borderId="0" xfId="0" applyFont="1" applyAlignment="1">
      <alignment vertical="top" wrapText="1"/>
    </xf>
    <xf numFmtId="0" fontId="6" fillId="5" borderId="11" xfId="4" applyFont="1" applyFill="1" applyBorder="1" applyAlignment="1">
      <alignment horizontal="center" vertical="top" wrapText="1"/>
    </xf>
    <xf numFmtId="0" fontId="6" fillId="5" borderId="12" xfId="4" applyFont="1" applyFill="1" applyBorder="1" applyAlignment="1">
      <alignment horizontal="center" vertical="top" wrapText="1"/>
    </xf>
    <xf numFmtId="0" fontId="6" fillId="0" borderId="0" xfId="4" applyFont="1" applyFill="1" applyAlignment="1">
      <alignment horizontal="center" vertical="top"/>
    </xf>
    <xf numFmtId="0" fontId="12" fillId="0" borderId="0" xfId="4" applyFont="1" applyFill="1" applyAlignment="1">
      <alignment horizontal="left" vertical="top"/>
    </xf>
    <xf numFmtId="171" fontId="35" fillId="0" borderId="0" xfId="6" applyNumberFormat="1" applyFont="1" applyFill="1" applyAlignment="1" applyProtection="1">
      <alignment vertical="top"/>
      <protection locked="0"/>
    </xf>
    <xf numFmtId="171" fontId="6" fillId="0" borderId="0" xfId="5" applyFont="1" applyAlignment="1">
      <alignment vertical="top"/>
    </xf>
    <xf numFmtId="171" fontId="37" fillId="0" borderId="0" xfId="5" applyFont="1" applyAlignment="1">
      <alignment vertical="top"/>
    </xf>
    <xf numFmtId="171" fontId="12" fillId="0" borderId="0" xfId="5" applyFont="1" applyAlignment="1" applyProtection="1">
      <alignment vertical="top"/>
      <protection hidden="1"/>
    </xf>
    <xf numFmtId="171" fontId="6" fillId="0" borderId="3" xfId="5" applyFont="1" applyBorder="1" applyAlignment="1">
      <alignment horizontal="center"/>
    </xf>
    <xf numFmtId="171" fontId="6" fillId="0" borderId="4" xfId="5" applyFont="1" applyBorder="1" applyAlignment="1">
      <alignment horizontal="center"/>
    </xf>
    <xf numFmtId="171" fontId="8" fillId="2" borderId="2" xfId="0" applyNumberFormat="1" applyFont="1" applyFill="1" applyBorder="1" applyAlignment="1" applyProtection="1">
      <alignment horizontal="center" wrapText="1"/>
    </xf>
    <xf numFmtId="171" fontId="8" fillId="2" borderId="0" xfId="0" applyNumberFormat="1" applyFont="1" applyFill="1" applyBorder="1" applyAlignment="1" applyProtection="1">
      <alignment horizontal="center" wrapText="1"/>
    </xf>
    <xf numFmtId="171" fontId="8" fillId="2" borderId="1" xfId="0" applyNumberFormat="1" applyFont="1" applyFill="1" applyBorder="1" applyAlignment="1" applyProtection="1">
      <alignment horizontal="center" wrapText="1"/>
    </xf>
    <xf numFmtId="166" fontId="8" fillId="2" borderId="2" xfId="0" applyFont="1" applyFill="1" applyBorder="1" applyAlignment="1" applyProtection="1">
      <alignment horizontal="center" wrapText="1"/>
    </xf>
    <xf numFmtId="166" fontId="0" fillId="0" borderId="0" xfId="0" applyAlignment="1" applyProtection="1">
      <alignment wrapText="1"/>
    </xf>
    <xf numFmtId="166" fontId="8" fillId="2" borderId="0" xfId="0" applyFont="1" applyFill="1" applyBorder="1" applyAlignment="1" applyProtection="1">
      <alignment horizontal="center" wrapText="1"/>
    </xf>
    <xf numFmtId="166" fontId="8" fillId="2" borderId="1" xfId="0" applyFont="1" applyFill="1" applyBorder="1" applyAlignment="1" applyProtection="1">
      <alignment horizontal="center" wrapText="1"/>
    </xf>
    <xf numFmtId="171" fontId="0" fillId="0" borderId="1" xfId="0" applyNumberFormat="1" applyBorder="1" applyAlignment="1" applyProtection="1">
      <alignment wrapText="1"/>
    </xf>
    <xf numFmtId="171" fontId="0" fillId="0" borderId="1" xfId="0" applyNumberFormat="1" applyBorder="1" applyAlignment="1" applyProtection="1">
      <alignment horizontal="center" wrapText="1"/>
    </xf>
    <xf numFmtId="0" fontId="8" fillId="2" borderId="2" xfId="0" applyNumberFormat="1" applyFont="1" applyFill="1" applyBorder="1" applyAlignment="1">
      <alignment horizontal="center" vertical="top" wrapText="1"/>
    </xf>
    <xf numFmtId="0" fontId="0" fillId="0" borderId="1" xfId="0" applyNumberFormat="1" applyBorder="1" applyAlignment="1">
      <alignment horizontal="center" vertical="top" wrapText="1"/>
    </xf>
    <xf numFmtId="166" fontId="0" fillId="0" borderId="0" xfId="0" applyAlignment="1">
      <alignment wrapText="1"/>
    </xf>
  </cellXfs>
  <cellStyles count="11">
    <cellStyle name="Comma" xfId="1" builtinId="3"/>
    <cellStyle name="Comma 3" xfId="7" xr:uid="{00000000-0005-0000-0000-000001000000}"/>
    <cellStyle name="Hyperlink" xfId="6" builtinId="8"/>
    <cellStyle name="Normal" xfId="0" builtinId="0"/>
    <cellStyle name="Normal 2" xfId="3" xr:uid="{00000000-0005-0000-0000-000004000000}"/>
    <cellStyle name="Normal 2 2" xfId="8" xr:uid="{00000000-0005-0000-0000-000005000000}"/>
    <cellStyle name="Normal 2 3" xfId="9" xr:uid="{00000000-0005-0000-0000-000006000000}"/>
    <cellStyle name="Normal 3" xfId="5" xr:uid="{00000000-0005-0000-0000-000007000000}"/>
    <cellStyle name="Normal 3 2" xfId="4" xr:uid="{00000000-0005-0000-0000-000008000000}"/>
    <cellStyle name="Normal 3 3" xfId="10" xr:uid="{00000000-0005-0000-0000-000009000000}"/>
    <cellStyle name="Normal 4" xfId="2" xr:uid="{00000000-0005-0000-0000-00000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6EFCE"/>
      <color rgb="FF006600"/>
      <color rgb="FFD7E6E6"/>
      <color rgb="FFC037C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601400180668478E-2"/>
          <c:y val="5.1219078857455254E-2"/>
          <c:w val="0.89174488790342465"/>
          <c:h val="0.73499154628143593"/>
        </c:manualLayout>
      </c:layout>
      <c:scatterChart>
        <c:scatterStyle val="lineMarker"/>
        <c:varyColors val="0"/>
        <c:ser>
          <c:idx val="2"/>
          <c:order val="0"/>
          <c:tx>
            <c:strRef>
              <c:f>'Paternal orphanhood'!$H$1</c:f>
              <c:strCache>
                <c:ptCount val="1"/>
                <c:pt idx="0">
                  <c:v>男性, 终身孤儿法</c:v>
                </c:pt>
              </c:strCache>
            </c:strRef>
          </c:tx>
          <c:spPr>
            <a:ln>
              <a:solidFill>
                <a:srgbClr val="0070C0"/>
              </a:solidFill>
              <a:prstDash val="solid"/>
            </a:ln>
          </c:spPr>
          <c:marker>
            <c:symbol val="none"/>
          </c:marker>
          <c:xVal>
            <c:numRef>
              <c:f>'Paternal orphanhood'!$K$8:$K$12</c:f>
              <c:numCache>
                <c:formatCode>0.0_)</c:formatCode>
                <c:ptCount val="5"/>
                <c:pt idx="0">
                  <c:v>1979.6677228626238</c:v>
                </c:pt>
                <c:pt idx="1">
                  <c:v>1977.8247175714539</c:v>
                </c:pt>
                <c:pt idx="2">
                  <c:v>1976.3133479935584</c:v>
                </c:pt>
                <c:pt idx="3">
                  <c:v>1975.2039127287044</c:v>
                </c:pt>
                <c:pt idx="4">
                  <c:v>#N/A</c:v>
                </c:pt>
              </c:numCache>
            </c:numRef>
          </c:xVal>
          <c:yVal>
            <c:numRef>
              <c:f>'Paternal orphanhood'!$J$8:$J$12</c:f>
              <c:numCache>
                <c:formatCode>0.000_)</c:formatCode>
                <c:ptCount val="5"/>
                <c:pt idx="0">
                  <c:v>0.28815823349188741</c:v>
                </c:pt>
                <c:pt idx="1">
                  <c:v>0.30004032688573634</c:v>
                </c:pt>
                <c:pt idx="2">
                  <c:v>0.28778140823606635</c:v>
                </c:pt>
                <c:pt idx="3">
                  <c:v>0.30469397704282997</c:v>
                </c:pt>
                <c:pt idx="4">
                  <c:v>0.3293943376560261</c:v>
                </c:pt>
              </c:numCache>
            </c:numRef>
          </c:yVal>
          <c:smooth val="0"/>
          <c:extLst>
            <c:ext xmlns:c16="http://schemas.microsoft.com/office/drawing/2014/chart" uri="{C3380CC4-5D6E-409C-BE32-E72D297353CC}">
              <c16:uniqueId val="{00000000-D34C-4648-8E07-C44AD2E112CC}"/>
            </c:ext>
          </c:extLst>
        </c:ser>
        <c:ser>
          <c:idx val="0"/>
          <c:order val="1"/>
          <c:tx>
            <c:strRef>
              <c:f>'Paternal orphanhood'!$G$15</c:f>
              <c:strCache>
                <c:ptCount val="1"/>
                <c:pt idx="0">
                  <c:v>男性, 婚后孤儿法</c:v>
                </c:pt>
              </c:strCache>
            </c:strRef>
          </c:tx>
          <c:spPr>
            <a:ln>
              <a:noFill/>
            </a:ln>
          </c:spPr>
          <c:marker>
            <c:symbol val="square"/>
            <c:size val="6"/>
            <c:spPr>
              <a:solidFill>
                <a:srgbClr val="0070C0"/>
              </a:solidFill>
            </c:spPr>
          </c:marker>
          <c:xVal>
            <c:numRef>
              <c:f>'Paternal orphanhood'!$K$25</c:f>
              <c:numCache>
                <c:formatCode>0.0_)</c:formatCode>
                <c:ptCount val="1"/>
                <c:pt idx="0">
                  <c:v>1983.072802845631</c:v>
                </c:pt>
              </c:numCache>
            </c:numRef>
          </c:xVal>
          <c:yVal>
            <c:numRef>
              <c:f>'Paternal orphanhood'!$J$25</c:f>
              <c:numCache>
                <c:formatCode>0.000_)</c:formatCode>
                <c:ptCount val="1"/>
                <c:pt idx="0">
                  <c:v>0.27906052177902874</c:v>
                </c:pt>
              </c:numCache>
            </c:numRef>
          </c:yVal>
          <c:smooth val="0"/>
          <c:extLst>
            <c:ext xmlns:c16="http://schemas.microsoft.com/office/drawing/2014/chart" uri="{C3380CC4-5D6E-409C-BE32-E72D297353CC}">
              <c16:uniqueId val="{00000001-D34C-4648-8E07-C44AD2E112CC}"/>
            </c:ext>
          </c:extLst>
        </c:ser>
        <c:ser>
          <c:idx val="1"/>
          <c:order val="2"/>
          <c:tx>
            <c:strRef>
              <c:f>'Paternal orphanhood'!$G$27</c:f>
              <c:strCache>
                <c:ptCount val="1"/>
                <c:pt idx="0">
                  <c:v>男性, 婚前孤儿法</c:v>
                </c:pt>
              </c:strCache>
            </c:strRef>
          </c:tx>
          <c:spPr>
            <a:ln>
              <a:solidFill>
                <a:srgbClr val="0070C0"/>
              </a:solidFill>
              <a:prstDash val="sysDash"/>
            </a:ln>
          </c:spPr>
          <c:marker>
            <c:symbol val="none"/>
          </c:marker>
          <c:xVal>
            <c:numRef>
              <c:f>'Paternal orphanhood'!$K$32:$K$36</c:f>
              <c:numCache>
                <c:formatCode>0.0_)</c:formatCode>
                <c:ptCount val="5"/>
                <c:pt idx="0">
                  <c:v>1972.3948015338678</c:v>
                </c:pt>
                <c:pt idx="1">
                  <c:v>1966.9623126663553</c:v>
                </c:pt>
                <c:pt idx="2">
                  <c:v>1961.3471560456624</c:v>
                </c:pt>
                <c:pt idx="3">
                  <c:v>1955.8649143234725</c:v>
                </c:pt>
                <c:pt idx="4">
                  <c:v>1950.4293213296255</c:v>
                </c:pt>
              </c:numCache>
            </c:numRef>
          </c:xVal>
          <c:yVal>
            <c:numRef>
              <c:f>'Paternal orphanhood'!$J$32:$J$36</c:f>
              <c:numCache>
                <c:formatCode>0.000_)</c:formatCode>
                <c:ptCount val="5"/>
                <c:pt idx="0">
                  <c:v>0.33933599368782896</c:v>
                </c:pt>
                <c:pt idx="1">
                  <c:v>0.35360033204580499</c:v>
                </c:pt>
                <c:pt idx="2">
                  <c:v>0.37767912176252982</c:v>
                </c:pt>
                <c:pt idx="3">
                  <c:v>0.44159994410357351</c:v>
                </c:pt>
                <c:pt idx="4">
                  <c:v>0.49090082341800489</c:v>
                </c:pt>
              </c:numCache>
            </c:numRef>
          </c:yVal>
          <c:smooth val="0"/>
          <c:extLst>
            <c:ext xmlns:c16="http://schemas.microsoft.com/office/drawing/2014/chart" uri="{C3380CC4-5D6E-409C-BE32-E72D297353CC}">
              <c16:uniqueId val="{00000002-D34C-4648-8E07-C44AD2E112CC}"/>
            </c:ext>
          </c:extLst>
        </c:ser>
        <c:ser>
          <c:idx val="3"/>
          <c:order val="3"/>
          <c:tx>
            <c:strRef>
              <c:f>'Maternal orphanhood'!$H$1</c:f>
              <c:strCache>
                <c:ptCount val="1"/>
                <c:pt idx="0">
                  <c:v>女性, 终身孤儿法</c:v>
                </c:pt>
              </c:strCache>
            </c:strRef>
          </c:tx>
          <c:spPr>
            <a:ln>
              <a:solidFill>
                <a:srgbClr val="C037C0"/>
              </a:solidFill>
            </a:ln>
          </c:spPr>
          <c:marker>
            <c:symbol val="none"/>
          </c:marker>
          <c:xVal>
            <c:numRef>
              <c:f>'Maternal orphanhood'!$K$8:$K$14</c:f>
              <c:numCache>
                <c:formatCode>0.0_)</c:formatCode>
                <c:ptCount val="7"/>
                <c:pt idx="0">
                  <c:v>1981.0739405406675</c:v>
                </c:pt>
                <c:pt idx="1">
                  <c:v>1979.2900548417397</c:v>
                </c:pt>
                <c:pt idx="2">
                  <c:v>1977.6955897116711</c:v>
                </c:pt>
                <c:pt idx="3">
                  <c:v>1976.279571150118</c:v>
                </c:pt>
                <c:pt idx="4">
                  <c:v>1975.3784220033779</c:v>
                </c:pt>
                <c:pt idx="5">
                  <c:v>1974.4459232735139</c:v>
                </c:pt>
                <c:pt idx="6">
                  <c:v>#N/A</c:v>
                </c:pt>
              </c:numCache>
            </c:numRef>
          </c:xVal>
          <c:yVal>
            <c:numRef>
              <c:f>'Maternal orphanhood'!$J$8:$J$14</c:f>
              <c:numCache>
                <c:formatCode>0.000_)</c:formatCode>
                <c:ptCount val="7"/>
                <c:pt idx="0">
                  <c:v>0.20123100995026955</c:v>
                </c:pt>
                <c:pt idx="1">
                  <c:v>0.19055560319987253</c:v>
                </c:pt>
                <c:pt idx="2">
                  <c:v>0.19776410654538701</c:v>
                </c:pt>
                <c:pt idx="3">
                  <c:v>0.21211408578880087</c:v>
                </c:pt>
                <c:pt idx="4">
                  <c:v>0.19965713637820715</c:v>
                </c:pt>
                <c:pt idx="5">
                  <c:v>0.23107518568933083</c:v>
                </c:pt>
                <c:pt idx="6">
                  <c:v>0.2639926188336984</c:v>
                </c:pt>
              </c:numCache>
            </c:numRef>
          </c:yVal>
          <c:smooth val="0"/>
          <c:extLst>
            <c:ext xmlns:c16="http://schemas.microsoft.com/office/drawing/2014/chart" uri="{C3380CC4-5D6E-409C-BE32-E72D297353CC}">
              <c16:uniqueId val="{00000003-D34C-4648-8E07-C44AD2E112CC}"/>
            </c:ext>
          </c:extLst>
        </c:ser>
        <c:ser>
          <c:idx val="4"/>
          <c:order val="4"/>
          <c:tx>
            <c:strRef>
              <c:f>'Maternal orphanhood'!$G$16</c:f>
              <c:strCache>
                <c:ptCount val="1"/>
                <c:pt idx="0">
                  <c:v>女性, 婚后孤儿法</c:v>
                </c:pt>
              </c:strCache>
            </c:strRef>
          </c:tx>
          <c:spPr>
            <a:ln>
              <a:noFill/>
            </a:ln>
          </c:spPr>
          <c:marker>
            <c:symbol val="diamond"/>
            <c:size val="8"/>
            <c:spPr>
              <a:solidFill>
                <a:srgbClr val="C037C0"/>
              </a:solidFill>
              <a:ln>
                <a:solidFill>
                  <a:srgbClr val="C037C0"/>
                </a:solidFill>
              </a:ln>
            </c:spPr>
          </c:marker>
          <c:xVal>
            <c:numRef>
              <c:f>'Maternal orphanhood'!$K$28</c:f>
              <c:numCache>
                <c:formatCode>0.0_)</c:formatCode>
                <c:ptCount val="1"/>
                <c:pt idx="0">
                  <c:v>1981.0392949517909</c:v>
                </c:pt>
              </c:numCache>
            </c:numRef>
          </c:xVal>
          <c:yVal>
            <c:numRef>
              <c:f>'Maternal orphanhood'!$J$28</c:f>
              <c:numCache>
                <c:formatCode>0.000_)</c:formatCode>
                <c:ptCount val="1"/>
                <c:pt idx="0">
                  <c:v>0.19252643696246052</c:v>
                </c:pt>
              </c:numCache>
            </c:numRef>
          </c:yVal>
          <c:smooth val="0"/>
          <c:extLst>
            <c:ext xmlns:c16="http://schemas.microsoft.com/office/drawing/2014/chart" uri="{C3380CC4-5D6E-409C-BE32-E72D297353CC}">
              <c16:uniqueId val="{00000004-D34C-4648-8E07-C44AD2E112CC}"/>
            </c:ext>
          </c:extLst>
        </c:ser>
        <c:ser>
          <c:idx val="5"/>
          <c:order val="5"/>
          <c:tx>
            <c:strRef>
              <c:f>'Maternal orphanhood'!$G$30</c:f>
              <c:strCache>
                <c:ptCount val="1"/>
                <c:pt idx="0">
                  <c:v>女性, 婚前孤儿法</c:v>
                </c:pt>
              </c:strCache>
            </c:strRef>
          </c:tx>
          <c:spPr>
            <a:ln>
              <a:solidFill>
                <a:srgbClr val="C037C0"/>
              </a:solidFill>
              <a:prstDash val="sysDash"/>
            </a:ln>
          </c:spPr>
          <c:marker>
            <c:symbol val="none"/>
          </c:marker>
          <c:xVal>
            <c:numRef>
              <c:f>'Maternal orphanhood'!$K$35:$K$39</c:f>
              <c:numCache>
                <c:formatCode>0.0_)</c:formatCode>
                <c:ptCount val="5"/>
                <c:pt idx="0">
                  <c:v>1972.6214575576957</c:v>
                </c:pt>
                <c:pt idx="1">
                  <c:v>1967.2091195435996</c:v>
                </c:pt>
                <c:pt idx="2">
                  <c:v>1961.5890447768948</c:v>
                </c:pt>
                <c:pt idx="3">
                  <c:v>1956.2271389820969</c:v>
                </c:pt>
                <c:pt idx="4">
                  <c:v>1950.7869638395903</c:v>
                </c:pt>
              </c:numCache>
            </c:numRef>
          </c:xVal>
          <c:yVal>
            <c:numRef>
              <c:f>'Maternal orphanhood'!$J$35:$J$39</c:f>
              <c:numCache>
                <c:formatCode>0.000_)</c:formatCode>
                <c:ptCount val="5"/>
                <c:pt idx="0">
                  <c:v>0.22817482989362514</c:v>
                </c:pt>
                <c:pt idx="1">
                  <c:v>0.24067909345242788</c:v>
                </c:pt>
                <c:pt idx="2">
                  <c:v>0.27507165901524233</c:v>
                </c:pt>
                <c:pt idx="3">
                  <c:v>0.30867203253520303</c:v>
                </c:pt>
                <c:pt idx="4">
                  <c:v>0.38690789831336403</c:v>
                </c:pt>
              </c:numCache>
            </c:numRef>
          </c:yVal>
          <c:smooth val="0"/>
          <c:extLst>
            <c:ext xmlns:c16="http://schemas.microsoft.com/office/drawing/2014/chart" uri="{C3380CC4-5D6E-409C-BE32-E72D297353CC}">
              <c16:uniqueId val="{00000005-D34C-4648-8E07-C44AD2E112CC}"/>
            </c:ext>
          </c:extLst>
        </c:ser>
        <c:dLbls>
          <c:showLegendKey val="0"/>
          <c:showVal val="0"/>
          <c:showCatName val="0"/>
          <c:showSerName val="0"/>
          <c:showPercent val="0"/>
          <c:showBubbleSize val="0"/>
        </c:dLbls>
        <c:axId val="91626496"/>
        <c:axId val="91645440"/>
      </c:scatterChart>
      <c:valAx>
        <c:axId val="91626496"/>
        <c:scaling>
          <c:orientation val="minMax"/>
        </c:scaling>
        <c:delete val="0"/>
        <c:axPos val="b"/>
        <c:title>
          <c:tx>
            <c:rich>
              <a:bodyPr/>
              <a:lstStyle/>
              <a:p>
                <a:pPr>
                  <a:defRPr/>
                </a:pPr>
                <a:r>
                  <a:rPr lang="zh-CN" altLang="en-US"/>
                  <a:t>年份</a:t>
                </a:r>
                <a:endParaRPr lang="en-GB"/>
              </a:p>
            </c:rich>
          </c:tx>
          <c:layout>
            <c:manualLayout>
              <c:xMode val="edge"/>
              <c:yMode val="edge"/>
              <c:x val="0.4951401588287162"/>
              <c:y val="0.85384761904761963"/>
            </c:manualLayout>
          </c:layout>
          <c:overlay val="0"/>
        </c:title>
        <c:numFmt formatCode="0" sourceLinked="0"/>
        <c:majorTickMark val="out"/>
        <c:minorTickMark val="none"/>
        <c:tickLblPos val="low"/>
        <c:spPr>
          <a:ln>
            <a:solidFill>
              <a:schemeClr val="tx1">
                <a:lumMod val="65000"/>
                <a:lumOff val="35000"/>
              </a:schemeClr>
            </a:solidFill>
          </a:ln>
        </c:spPr>
        <c:crossAx val="91645440"/>
        <c:crossesAt val="-1"/>
        <c:crossBetween val="midCat"/>
      </c:valAx>
      <c:valAx>
        <c:axId val="91645440"/>
        <c:scaling>
          <c:orientation val="minMax"/>
        </c:scaling>
        <c:delete val="0"/>
        <c:axPos val="l"/>
        <c:majorGridlines>
          <c:spPr>
            <a:ln>
              <a:solidFill>
                <a:schemeClr val="bg1">
                  <a:lumMod val="75000"/>
                </a:schemeClr>
              </a:solidFill>
            </a:ln>
          </c:spPr>
        </c:majorGridlines>
        <c:title>
          <c:tx>
            <c:strRef>
              <c:f>Introduction!$D$12</c:f>
              <c:strCache>
                <c:ptCount val="1"/>
                <c:pt idx="0">
                  <c:v>30q30</c:v>
                </c:pt>
              </c:strCache>
            </c:strRef>
          </c:tx>
          <c:layout>
            <c:manualLayout>
              <c:xMode val="edge"/>
              <c:yMode val="edge"/>
              <c:x val="3.4209698134712412E-3"/>
              <c:y val="0.36147758159443688"/>
            </c:manualLayout>
          </c:layout>
          <c:overlay val="0"/>
          <c:txPr>
            <a:bodyPr rot="-5400000" vert="horz" anchor="ctr" anchorCtr="0"/>
            <a:lstStyle/>
            <a:p>
              <a:pPr algn="l">
                <a:defRPr i="1" baseline="0"/>
              </a:pPr>
              <a:endParaRPr lang="en-US"/>
            </a:p>
          </c:txPr>
        </c:title>
        <c:numFmt formatCode="#,##0.0" sourceLinked="0"/>
        <c:majorTickMark val="out"/>
        <c:minorTickMark val="none"/>
        <c:tickLblPos val="nextTo"/>
        <c:spPr>
          <a:ln>
            <a:solidFill>
              <a:schemeClr val="tx1">
                <a:lumMod val="65000"/>
                <a:lumOff val="35000"/>
              </a:schemeClr>
            </a:solidFill>
          </a:ln>
        </c:spPr>
        <c:crossAx val="91626496"/>
        <c:crosses val="autoZero"/>
        <c:crossBetween val="midCat"/>
        <c:majorUnit val="0.1"/>
      </c:valAx>
      <c:spPr>
        <a:solidFill>
          <a:schemeClr val="bg1"/>
        </a:solidFill>
        <a:ln w="6350"/>
      </c:spPr>
    </c:plotArea>
    <c:legend>
      <c:legendPos val="b"/>
      <c:layout>
        <c:manualLayout>
          <c:xMode val="edge"/>
          <c:yMode val="edge"/>
          <c:x val="0.10677678639777492"/>
          <c:y val="0.89935345104333853"/>
          <c:w val="0.81131477401922836"/>
          <c:h val="9.0723167469234894E-2"/>
        </c:manualLayout>
      </c:layout>
      <c:overlay val="0"/>
    </c:legend>
    <c:plotVisOnly val="1"/>
    <c:dispBlanksAs val="gap"/>
    <c:showDLblsOverMax val="0"/>
  </c:chart>
  <c:spPr>
    <a:solidFill>
      <a:srgbClr val="D7E6E6"/>
    </a:solidFill>
    <a:ln>
      <a:noFill/>
    </a:ln>
  </c:spPr>
  <c:txPr>
    <a:bodyPr/>
    <a:lstStyle/>
    <a:p>
      <a:pPr>
        <a:defRPr sz="1200">
          <a:latin typeface="Verdana" pitchFamily="34" charset="0"/>
        </a:defRPr>
      </a:pPr>
      <a:endParaRPr lang="en-US"/>
    </a:p>
  </c:txPr>
  <c:printSettings>
    <c:headerFooter/>
    <c:pageMargins b="0.74803149606299746" l="0.70866141732284083" r="0.70866141732284083" t="0.74803149606299746" header="0.31496062992126483" footer="0.31496062992126483"/>
    <c:pageSetup paperSize="9"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133350</xdr:colOff>
      <xdr:row>38</xdr:row>
      <xdr:rowOff>58800</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DMINI~1\LOCALS~1\Temp\Orphanhood%20meth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aternal orphanhood"/>
      <sheetName val="Paternal orphanhood"/>
      <sheetName val="Graphs"/>
      <sheetName val="Model data"/>
    </sheetNames>
    <sheetDataSet>
      <sheetData sheetId="0"/>
      <sheetData sheetId="1">
        <row r="1">
          <cell r="R1">
            <v>1999.65</v>
          </cell>
        </row>
        <row r="29">
          <cell r="D29">
            <v>26.750483870967741</v>
          </cell>
        </row>
      </sheetData>
      <sheetData sheetId="2" refreshError="1">
        <row r="1">
          <cell r="S1">
            <v>1999.65</v>
          </cell>
        </row>
        <row r="17">
          <cell r="C17">
            <v>27.96050811424012</v>
          </cell>
        </row>
      </sheetData>
      <sheetData sheetId="3">
        <row r="17">
          <cell r="C17">
            <v>27.96050811424012</v>
          </cell>
        </row>
      </sheetData>
      <sheetData sheetId="4">
        <row r="1">
          <cell r="R1">
            <v>1999.65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orphanhood"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pageSetUpPr fitToPage="1"/>
  </sheetPr>
  <dimension ref="A1:H64"/>
  <sheetViews>
    <sheetView showGridLines="0" tabSelected="1" topLeftCell="A9" zoomScaleNormal="100" workbookViewId="0">
      <selection activeCell="C20" sqref="C20"/>
    </sheetView>
  </sheetViews>
  <sheetFormatPr defaultColWidth="9" defaultRowHeight="15"/>
  <cols>
    <col min="1" max="1" width="6.44140625" style="184" customWidth="1"/>
    <col min="2" max="2" width="87" style="184" customWidth="1"/>
    <col min="3" max="3" width="24.88671875" style="154" customWidth="1"/>
    <col min="4" max="4" width="13.21875" style="154" customWidth="1"/>
    <col min="5" max="5" width="12.44140625" style="154" customWidth="1"/>
    <col min="6" max="6" width="13" style="154" customWidth="1"/>
    <col min="7" max="7" width="12.21875" style="154" customWidth="1"/>
    <col min="8" max="16384" width="9" style="154"/>
  </cols>
  <sheetData>
    <row r="1" spans="1:4" ht="15.75" customHeight="1">
      <c r="B1" s="284" t="s">
        <v>150</v>
      </c>
    </row>
    <row r="2" spans="1:4" ht="15.75" customHeight="1">
      <c r="B2" s="285"/>
      <c r="C2" s="153" t="s">
        <v>48</v>
      </c>
    </row>
    <row r="3" spans="1:4" s="155" customFormat="1" ht="15.6">
      <c r="A3" s="185"/>
      <c r="B3" s="286"/>
    </row>
    <row r="4" spans="1:4" s="155" customFormat="1">
      <c r="A4" s="185"/>
      <c r="B4" s="287" t="s">
        <v>81</v>
      </c>
    </row>
    <row r="5" spans="1:4" s="155" customFormat="1">
      <c r="A5" s="42"/>
      <c r="B5" s="288" t="s">
        <v>74</v>
      </c>
      <c r="C5" s="156"/>
    </row>
    <row r="6" spans="1:4" s="157" customFormat="1" ht="15.75" customHeight="1">
      <c r="A6" s="211"/>
      <c r="B6" s="286"/>
      <c r="C6" s="155"/>
      <c r="D6" s="154"/>
    </row>
    <row r="7" spans="1:4" ht="30">
      <c r="B7" s="186" t="s">
        <v>151</v>
      </c>
      <c r="C7" s="157"/>
      <c r="D7" s="157"/>
    </row>
    <row r="8" spans="1:4" ht="15.6" thickBot="1"/>
    <row r="9" spans="1:4" ht="16.2" thickBot="1">
      <c r="B9" s="289" t="s">
        <v>82</v>
      </c>
      <c r="C9" s="292" t="s">
        <v>152</v>
      </c>
      <c r="D9" s="293"/>
    </row>
    <row r="10" spans="1:4" ht="26.4" customHeight="1">
      <c r="A10" s="184" t="s">
        <v>53</v>
      </c>
      <c r="B10" s="283" t="s">
        <v>154</v>
      </c>
      <c r="C10" s="261" t="s">
        <v>84</v>
      </c>
      <c r="D10" s="256" t="s">
        <v>88</v>
      </c>
    </row>
    <row r="11" spans="1:4" ht="27" customHeight="1">
      <c r="A11" s="184" t="s">
        <v>54</v>
      </c>
      <c r="B11" s="283" t="s">
        <v>155</v>
      </c>
      <c r="C11" s="262" t="s">
        <v>85</v>
      </c>
      <c r="D11" s="257" t="s">
        <v>96</v>
      </c>
    </row>
    <row r="12" spans="1:4" ht="19.8" customHeight="1">
      <c r="A12" s="184" t="s">
        <v>55</v>
      </c>
      <c r="B12" s="283" t="s">
        <v>83</v>
      </c>
      <c r="C12" s="262" t="s">
        <v>86</v>
      </c>
      <c r="D12" s="258" t="s">
        <v>49</v>
      </c>
    </row>
    <row r="13" spans="1:4" ht="19.5" customHeight="1" thickBot="1">
      <c r="A13" s="184" t="s">
        <v>56</v>
      </c>
      <c r="B13" s="260" t="s">
        <v>156</v>
      </c>
      <c r="C13" s="263" t="s">
        <v>87</v>
      </c>
      <c r="D13" s="259">
        <v>32462</v>
      </c>
    </row>
    <row r="14" spans="1:4" s="157" customFormat="1" ht="52.5" customHeight="1">
      <c r="A14" s="186" t="s">
        <v>57</v>
      </c>
      <c r="B14" s="186" t="s">
        <v>157</v>
      </c>
      <c r="D14" s="158"/>
    </row>
    <row r="15" spans="1:4" ht="38.25" customHeight="1">
      <c r="A15" s="187" t="s">
        <v>89</v>
      </c>
      <c r="B15" s="186" t="s">
        <v>158</v>
      </c>
      <c r="C15" s="157"/>
      <c r="D15" s="159"/>
    </row>
    <row r="16" spans="1:4" ht="121.2" customHeight="1">
      <c r="A16" s="184" t="s">
        <v>58</v>
      </c>
      <c r="B16" s="186" t="s">
        <v>90</v>
      </c>
      <c r="C16" s="157"/>
    </row>
    <row r="17" spans="1:2" ht="55.2" customHeight="1">
      <c r="A17" s="184" t="s">
        <v>59</v>
      </c>
      <c r="B17" s="186" t="s">
        <v>159</v>
      </c>
    </row>
    <row r="18" spans="1:2" ht="38.25" customHeight="1">
      <c r="A18" s="187" t="s">
        <v>89</v>
      </c>
      <c r="B18" s="186" t="s">
        <v>160</v>
      </c>
    </row>
    <row r="19" spans="1:2" ht="121.5" customHeight="1">
      <c r="A19" s="184" t="s">
        <v>60</v>
      </c>
      <c r="B19" s="186" t="s">
        <v>161</v>
      </c>
    </row>
    <row r="20" spans="1:2" ht="63" customHeight="1">
      <c r="A20" s="184" t="s">
        <v>61</v>
      </c>
      <c r="B20" s="283" t="s">
        <v>164</v>
      </c>
    </row>
    <row r="21" spans="1:2" ht="73.5" customHeight="1">
      <c r="A21" s="184" t="s">
        <v>62</v>
      </c>
      <c r="B21" s="264" t="s">
        <v>162</v>
      </c>
    </row>
    <row r="22" spans="1:2" s="157" customFormat="1" ht="52.5" customHeight="1">
      <c r="A22" s="186" t="s">
        <v>63</v>
      </c>
      <c r="B22" s="186" t="s">
        <v>91</v>
      </c>
    </row>
    <row r="23" spans="1:2">
      <c r="B23" s="290"/>
    </row>
    <row r="44" spans="2:8">
      <c r="C44" s="160"/>
      <c r="D44" s="160"/>
      <c r="E44" s="161"/>
      <c r="F44" s="161"/>
      <c r="G44" s="161"/>
      <c r="H44" s="160"/>
    </row>
    <row r="45" spans="2:8" ht="15.6">
      <c r="H45" s="162"/>
    </row>
    <row r="46" spans="2:8">
      <c r="B46" s="291"/>
      <c r="H46" s="160"/>
    </row>
    <row r="47" spans="2:8">
      <c r="B47" s="291"/>
      <c r="H47" s="160"/>
    </row>
    <row r="48" spans="2:8">
      <c r="B48" s="291"/>
      <c r="H48" s="160"/>
    </row>
    <row r="49" spans="2:8">
      <c r="B49" s="291"/>
      <c r="H49" s="160"/>
    </row>
    <row r="50" spans="2:8">
      <c r="B50" s="291"/>
      <c r="H50" s="160"/>
    </row>
    <row r="51" spans="2:8">
      <c r="B51" s="291"/>
      <c r="H51" s="160"/>
    </row>
    <row r="52" spans="2:8">
      <c r="B52" s="291"/>
      <c r="H52" s="160"/>
    </row>
    <row r="53" spans="2:8">
      <c r="B53" s="291"/>
      <c r="H53" s="160"/>
    </row>
    <row r="54" spans="2:8">
      <c r="B54" s="291"/>
      <c r="H54" s="160"/>
    </row>
    <row r="55" spans="2:8">
      <c r="B55" s="291"/>
      <c r="H55" s="160"/>
    </row>
    <row r="56" spans="2:8">
      <c r="B56" s="291"/>
      <c r="H56" s="160"/>
    </row>
    <row r="57" spans="2:8">
      <c r="B57" s="291"/>
      <c r="H57" s="160"/>
    </row>
    <row r="58" spans="2:8">
      <c r="B58" s="291"/>
      <c r="H58" s="160"/>
    </row>
    <row r="59" spans="2:8">
      <c r="B59" s="291"/>
      <c r="H59" s="160"/>
    </row>
    <row r="60" spans="2:8">
      <c r="B60" s="291"/>
      <c r="H60" s="160"/>
    </row>
    <row r="61" spans="2:8">
      <c r="B61" s="291"/>
      <c r="C61" s="161"/>
      <c r="D61" s="161"/>
      <c r="E61" s="163"/>
      <c r="F61" s="163"/>
      <c r="G61" s="161"/>
      <c r="H61" s="160"/>
    </row>
    <row r="62" spans="2:8">
      <c r="B62" s="291"/>
      <c r="E62" s="164"/>
      <c r="F62" s="165"/>
    </row>
    <row r="63" spans="2:8">
      <c r="B63" s="291"/>
      <c r="E63" s="164"/>
      <c r="F63" s="165"/>
    </row>
    <row r="64" spans="2:8">
      <c r="E64" s="160"/>
      <c r="F64" s="160"/>
    </row>
  </sheetData>
  <sheetProtection selectLockedCells="1"/>
  <mergeCells count="1">
    <mergeCell ref="C9:D9"/>
  </mergeCells>
  <phoneticPr fontId="59" type="noConversion"/>
  <dataValidations count="4">
    <dataValidation type="date" operator="greaterThanOrEqual" allowBlank="1" showInputMessage="1" showErrorMessage="1" promptTitle="Date input" prompt="Please input the date using the default date format on your computer." sqref="D13" xr:uid="{00000000-0002-0000-0000-000000000000}">
      <formula1>1</formula1>
    </dataValidation>
    <dataValidation type="list" showInputMessage="1" showErrorMessage="1" sqref="D11" xr:uid="{00000000-0002-0000-0000-000001000000}">
      <formula1>Model_LTs</formula1>
    </dataValidation>
    <dataValidation type="list" showInputMessage="1" showErrorMessage="1" promptTitle="Select mortality index" sqref="D12" xr:uid="{00000000-0002-0000-0000-000002000000}">
      <formula1>"45q15,30q30"</formula1>
    </dataValidation>
    <dataValidation type="list" showDropDown="1" showInputMessage="1" showErrorMessage="1" sqref="B5" xr:uid="{00000000-0002-0000-0000-000003000000}">
      <formula1>"http://demographicestimation.iussp.org/content/orphanhood"</formula1>
    </dataValidation>
  </dataValidations>
  <hyperlinks>
    <hyperlink ref="B5" r:id="rId1" xr:uid="{00000000-0004-0000-0000-000000000000}"/>
  </hyperlinks>
  <pageMargins left="0.70866141732283472" right="0.70866141732283472" top="0.94488188976377963" bottom="0.94488188976377963" header="0.31496062992125984" footer="0.31496062992125984"/>
  <pageSetup paperSize="9" scale="75" fitToHeight="0" orientation="portrait" r:id="rId2"/>
  <headerFooter>
    <oddHeader>&amp;L&amp;"+,Bold"&amp;13Tools for Demographic Estimation&amp;R&amp;"+,Bold"&amp;13Orphanhood before &amp;&amp; since 1st marriage</oddHeader>
    <oddFooter>&amp;L&amp;"+,Regular"&amp;F&amp;R&amp;"+,Regular"&amp;D  &amp;T</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G38"/>
  <sheetViews>
    <sheetView topLeftCell="A34" workbookViewId="0">
      <selection activeCell="E68" sqref="E68"/>
    </sheetView>
  </sheetViews>
  <sheetFormatPr defaultRowHeight="12"/>
  <cols>
    <col min="2" max="2" width="9.88671875" customWidth="1"/>
    <col min="3" max="3" width="12.44140625" customWidth="1"/>
    <col min="4" max="4" width="12.88671875" customWidth="1"/>
    <col min="5" max="5" width="13.109375" customWidth="1"/>
    <col min="6" max="7" width="12.21875" customWidth="1"/>
  </cols>
  <sheetData>
    <row r="1" spans="1:7" ht="15.75" customHeight="1">
      <c r="A1" s="265" t="s">
        <v>95</v>
      </c>
    </row>
    <row r="2" spans="1:7" ht="15.75" customHeight="1">
      <c r="A2" s="267" t="s">
        <v>93</v>
      </c>
      <c r="B2" s="268" t="s">
        <v>96</v>
      </c>
      <c r="C2" s="268" t="s">
        <v>97</v>
      </c>
      <c r="D2" s="268" t="s">
        <v>98</v>
      </c>
      <c r="E2" s="268" t="s">
        <v>99</v>
      </c>
      <c r="F2" s="268" t="s">
        <v>100</v>
      </c>
      <c r="G2" s="266" t="s">
        <v>101</v>
      </c>
    </row>
    <row r="3" spans="1:7" ht="15.75" customHeight="1">
      <c r="A3" s="193">
        <v>15</v>
      </c>
      <c r="B3" s="194">
        <v>-1.0121945536850769</v>
      </c>
      <c r="C3" s="194">
        <v>-0.97971406825728613</v>
      </c>
      <c r="D3" s="194">
        <v>-0.96635456814626275</v>
      </c>
      <c r="E3" s="194">
        <v>-0.88990310948808893</v>
      </c>
      <c r="F3" s="194">
        <v>-1.0293119689456429</v>
      </c>
      <c r="G3" s="233"/>
    </row>
    <row r="4" spans="1:7" ht="15.75" customHeight="1">
      <c r="A4" s="193">
        <v>20</v>
      </c>
      <c r="B4" s="194">
        <v>-0.97234684182353803</v>
      </c>
      <c r="C4" s="194">
        <v>-0.94156371692343144</v>
      </c>
      <c r="D4" s="194">
        <v>-0.91382222014342573</v>
      </c>
      <c r="E4" s="194">
        <v>-0.85999289910331278</v>
      </c>
      <c r="F4" s="194">
        <v>-0.97893414503700538</v>
      </c>
      <c r="G4" s="233"/>
    </row>
    <row r="5" spans="1:7" ht="15.75" customHeight="1">
      <c r="A5" s="193">
        <v>25</v>
      </c>
      <c r="B5" s="194">
        <v>-0.92078751270821413</v>
      </c>
      <c r="C5" s="194">
        <v>-0.89159541950333177</v>
      </c>
      <c r="D5" s="194">
        <v>-0.85013265027358209</v>
      </c>
      <c r="E5" s="194">
        <v>-0.82016153698599226</v>
      </c>
      <c r="F5" s="194">
        <v>-0.91633966970304337</v>
      </c>
      <c r="G5" s="233"/>
    </row>
    <row r="6" spans="1:7" ht="15.75" customHeight="1">
      <c r="A6" s="193">
        <v>30</v>
      </c>
      <c r="B6" s="194">
        <v>-0.86548423243967132</v>
      </c>
      <c r="C6" s="194">
        <v>-0.84219551169775642</v>
      </c>
      <c r="D6" s="194">
        <v>-0.78726242697886062</v>
      </c>
      <c r="E6" s="194">
        <v>-0.78007392332133241</v>
      </c>
      <c r="F6" s="194">
        <v>-0.85459253778955946</v>
      </c>
      <c r="G6" s="233"/>
    </row>
    <row r="7" spans="1:7" ht="15.75" customHeight="1">
      <c r="A7" s="193">
        <v>35</v>
      </c>
      <c r="B7" s="194">
        <v>-0.80533674084601314</v>
      </c>
      <c r="C7" s="194">
        <v>-0.79104803230330434</v>
      </c>
      <c r="D7" s="194">
        <v>-0.72474545944961821</v>
      </c>
      <c r="E7" s="194">
        <v>-0.73709896740170688</v>
      </c>
      <c r="F7" s="194">
        <v>-0.79123192333414838</v>
      </c>
      <c r="G7" s="233"/>
    </row>
    <row r="8" spans="1:7" ht="15.75" customHeight="1">
      <c r="A8" s="193">
        <v>40</v>
      </c>
      <c r="B8" s="194">
        <v>-0.73732521540819196</v>
      </c>
      <c r="C8" s="194">
        <v>-0.73425391825061403</v>
      </c>
      <c r="D8" s="194">
        <v>-0.66077403595339856</v>
      </c>
      <c r="E8" s="194">
        <v>-0.69020740216054988</v>
      </c>
      <c r="F8" s="194">
        <v>-0.72290929940989257</v>
      </c>
      <c r="G8" s="233"/>
    </row>
    <row r="9" spans="1:7" ht="15.75" customHeight="1">
      <c r="A9" s="193">
        <v>45</v>
      </c>
      <c r="B9" s="194">
        <v>-0.65863624320988345</v>
      </c>
      <c r="C9" s="194">
        <v>-0.66825754255920489</v>
      </c>
      <c r="D9" s="194">
        <v>-0.5904613819796557</v>
      </c>
      <c r="E9" s="194">
        <v>-0.63449440257961387</v>
      </c>
      <c r="F9" s="194">
        <v>-0.6461549890735192</v>
      </c>
      <c r="G9" s="233"/>
    </row>
    <row r="10" spans="1:7" ht="15.75" customHeight="1">
      <c r="A10" s="193">
        <v>50</v>
      </c>
      <c r="B10" s="194">
        <v>-0.56432091512237903</v>
      </c>
      <c r="C10" s="194">
        <v>-0.58660888869906025</v>
      </c>
      <c r="D10" s="194">
        <v>-0.51474890543256313</v>
      </c>
      <c r="E10" s="194">
        <v>-0.56821295557201257</v>
      </c>
      <c r="F10" s="194">
        <v>-0.55659173180953114</v>
      </c>
      <c r="G10" s="233"/>
    </row>
    <row r="11" spans="1:7" ht="15.75" customHeight="1">
      <c r="A11" s="193">
        <v>55</v>
      </c>
      <c r="B11" s="194">
        <v>-0.44835796349979129</v>
      </c>
      <c r="C11" s="194">
        <v>-0.48111641634940366</v>
      </c>
      <c r="D11" s="194">
        <v>-0.42188099777551347</v>
      </c>
      <c r="E11" s="194">
        <v>-0.48239734581505644</v>
      </c>
      <c r="F11" s="194">
        <v>-0.44666706004400114</v>
      </c>
      <c r="G11" s="233"/>
    </row>
    <row r="12" spans="1:7" ht="15.75" customHeight="1">
      <c r="A12" s="193">
        <v>60</v>
      </c>
      <c r="B12" s="194">
        <v>-0.30638850188113281</v>
      </c>
      <c r="C12" s="194">
        <v>-0.34745214284807552</v>
      </c>
      <c r="D12" s="194">
        <v>-0.31373408763068089</v>
      </c>
      <c r="E12" s="194">
        <v>-0.37368650277193127</v>
      </c>
      <c r="F12" s="194">
        <v>-0.31288957869926254</v>
      </c>
      <c r="G12" s="233"/>
    </row>
    <row r="13" spans="1:7" ht="15.75" customHeight="1">
      <c r="A13" s="193">
        <v>65</v>
      </c>
      <c r="B13" s="194">
        <v>-0.13218620461701414</v>
      </c>
      <c r="C13" s="194">
        <v>-0.17916315353789958</v>
      </c>
      <c r="D13" s="194">
        <v>-0.17374005998585826</v>
      </c>
      <c r="E13" s="194">
        <v>-0.22956293913585316</v>
      </c>
      <c r="F13" s="194">
        <v>-0.14574826715382799</v>
      </c>
      <c r="G13" s="233"/>
    </row>
    <row r="14" spans="1:7" ht="15.75" customHeight="1">
      <c r="A14" s="193">
        <v>70</v>
      </c>
      <c r="B14" s="194">
        <v>8.1075417880201409E-2</v>
      </c>
      <c r="C14" s="194">
        <v>3.4873769526037102E-2</v>
      </c>
      <c r="D14" s="194">
        <v>7.709813626405328E-3</v>
      </c>
      <c r="E14" s="194">
        <v>-4.0702942595531359E-2</v>
      </c>
      <c r="F14" s="194">
        <v>6.0162515402529336E-2</v>
      </c>
      <c r="G14" s="233"/>
    </row>
    <row r="15" spans="1:7" ht="15.75" customHeight="1">
      <c r="A15" s="193">
        <v>75</v>
      </c>
      <c r="B15" s="194">
        <v>0.34157292464829403</v>
      </c>
      <c r="C15" s="194">
        <v>0.3123474009290419</v>
      </c>
      <c r="D15" s="194">
        <v>0.24438970566438267</v>
      </c>
      <c r="E15" s="194">
        <v>0.21969545818577857</v>
      </c>
      <c r="F15" s="194">
        <v>0.32200302729512403</v>
      </c>
      <c r="G15" s="233"/>
    </row>
    <row r="16" spans="1:7" ht="15.75" customHeight="1">
      <c r="A16" s="193">
        <v>80</v>
      </c>
      <c r="B16" s="194">
        <v>0.6615291707175992</v>
      </c>
      <c r="C16" s="194">
        <v>0.67726953010875401</v>
      </c>
      <c r="D16" s="194">
        <v>0.5542075593189103</v>
      </c>
      <c r="E16" s="194">
        <v>0.58006843196258251</v>
      </c>
      <c r="F16" s="194">
        <v>0.66202299315788493</v>
      </c>
      <c r="G16" s="233"/>
    </row>
    <row r="17" spans="1:7" ht="15.75" customHeight="1">
      <c r="A17" s="195">
        <v>85</v>
      </c>
      <c r="B17" s="196">
        <v>1.067151820502233</v>
      </c>
      <c r="C17" s="196">
        <v>1.17951998038618</v>
      </c>
      <c r="D17" s="196">
        <v>0.97306427262294348</v>
      </c>
      <c r="E17" s="196">
        <v>1.0907265436318963</v>
      </c>
      <c r="F17" s="196">
        <v>1.1203444618292409</v>
      </c>
      <c r="G17" s="234"/>
    </row>
    <row r="18" spans="1:7" ht="15.75" customHeight="1"/>
    <row r="19" spans="1:7" ht="15.75" customHeight="1">
      <c r="A19" s="22" t="s">
        <v>92</v>
      </c>
      <c r="B19" s="53"/>
      <c r="C19" s="147" t="s">
        <v>41</v>
      </c>
      <c r="D19" s="232">
        <v>0</v>
      </c>
    </row>
    <row r="20" spans="1:7" ht="15.75" customHeight="1">
      <c r="A20" s="23"/>
      <c r="B20" s="23"/>
      <c r="C20" s="147" t="s">
        <v>42</v>
      </c>
      <c r="D20" s="232">
        <v>1</v>
      </c>
    </row>
    <row r="21" spans="1:7" ht="15.75" customHeight="1">
      <c r="A21" s="27"/>
      <c r="B21" s="148" t="str">
        <f>Introduction!D11</f>
        <v>联合国一般</v>
      </c>
      <c r="C21" s="148" t="s">
        <v>94</v>
      </c>
      <c r="D21" s="148" t="s">
        <v>94</v>
      </c>
    </row>
    <row r="22" spans="1:7" ht="15.75" customHeight="1">
      <c r="A22" s="28" t="s">
        <v>93</v>
      </c>
      <c r="B22" s="149" t="s">
        <v>43</v>
      </c>
      <c r="C22" s="149" t="s">
        <v>92</v>
      </c>
      <c r="D22" s="149" t="s">
        <v>92</v>
      </c>
    </row>
    <row r="23" spans="1:7" ht="15.75" customHeight="1">
      <c r="A23" s="29"/>
      <c r="B23" s="60" t="s">
        <v>44</v>
      </c>
      <c r="C23" s="67" t="s">
        <v>45</v>
      </c>
      <c r="D23" s="60" t="s">
        <v>46</v>
      </c>
    </row>
    <row r="24" spans="1:7" ht="15.75" customHeight="1">
      <c r="A24" s="150">
        <v>15</v>
      </c>
      <c r="B24" s="152">
        <f>HLOOKUP(Introduction!D$11,'Model data'!$B$2:$F$17,ROW()-ROW(A$24)+2,FALSE)</f>
        <v>-1.0121945536850769</v>
      </c>
      <c r="C24" s="152">
        <f t="shared" ref="C24:C38" si="0">$D$19+$D$20*B24</f>
        <v>-1.0121945536850769</v>
      </c>
      <c r="D24" s="34">
        <f t="shared" ref="D24:D38" si="1">1/(1+EXP(2*C24))</f>
        <v>0.88333409005509533</v>
      </c>
    </row>
    <row r="25" spans="1:7" ht="15.75" customHeight="1">
      <c r="A25" s="150">
        <f t="shared" ref="A25:A38" si="2">5+A24</f>
        <v>20</v>
      </c>
      <c r="B25" s="74">
        <f>HLOOKUP(Introduction!D$11,'Model data'!$B$2:$F$17,ROW()-ROW(A$24)+2,FALSE)</f>
        <v>-0.97234684182353803</v>
      </c>
      <c r="C25" s="74">
        <f t="shared" si="0"/>
        <v>-0.97234684182353803</v>
      </c>
      <c r="D25" s="34">
        <f t="shared" si="1"/>
        <v>0.87486688839026305</v>
      </c>
    </row>
    <row r="26" spans="1:7" ht="15.75" customHeight="1">
      <c r="A26" s="150">
        <f t="shared" si="2"/>
        <v>25</v>
      </c>
      <c r="B26" s="74">
        <f>HLOOKUP(Introduction!D$11,'Model data'!$B$2:$F$17,ROW()-ROW(A$24)+2,FALSE)</f>
        <v>-0.92078751270821413</v>
      </c>
      <c r="C26" s="74">
        <f t="shared" si="0"/>
        <v>-0.92078751270821413</v>
      </c>
      <c r="D26" s="34">
        <f t="shared" si="1"/>
        <v>0.86313487643920483</v>
      </c>
    </row>
    <row r="27" spans="1:7" ht="15.75" customHeight="1">
      <c r="A27" s="150">
        <f t="shared" si="2"/>
        <v>30</v>
      </c>
      <c r="B27" s="74">
        <f>HLOOKUP(Introduction!D$11,'Model data'!$B$2:$F$17,ROW()-ROW(A$24)+2,FALSE)</f>
        <v>-0.86548423243967132</v>
      </c>
      <c r="C27" s="74">
        <f t="shared" si="0"/>
        <v>-0.86548423243967132</v>
      </c>
      <c r="D27" s="34">
        <f t="shared" si="1"/>
        <v>0.84953625561237445</v>
      </c>
    </row>
    <row r="28" spans="1:7" ht="15.75" customHeight="1">
      <c r="A28" s="150">
        <f t="shared" si="2"/>
        <v>35</v>
      </c>
      <c r="B28" s="74">
        <f>HLOOKUP(Introduction!D$11,'Model data'!$B$2:$F$17,ROW()-ROW(A$24)+2,FALSE)</f>
        <v>-0.80533674084601314</v>
      </c>
      <c r="C28" s="74">
        <f t="shared" si="0"/>
        <v>-0.80533674084601314</v>
      </c>
      <c r="D28" s="34">
        <f t="shared" si="1"/>
        <v>0.83350486950461589</v>
      </c>
    </row>
    <row r="29" spans="1:7" ht="15.75" customHeight="1">
      <c r="A29" s="150">
        <f t="shared" si="2"/>
        <v>40</v>
      </c>
      <c r="B29" s="74">
        <f>HLOOKUP(Introduction!D$11,'Model data'!$B$2:$F$17,ROW()-ROW(A$24)+2,FALSE)</f>
        <v>-0.73732521540819196</v>
      </c>
      <c r="C29" s="74">
        <f t="shared" si="0"/>
        <v>-0.73732521540819196</v>
      </c>
      <c r="D29" s="34">
        <f t="shared" si="1"/>
        <v>0.81376319977144118</v>
      </c>
    </row>
    <row r="30" spans="1:7" ht="15.75" customHeight="1">
      <c r="A30" s="150">
        <f t="shared" si="2"/>
        <v>45</v>
      </c>
      <c r="B30" s="74">
        <f>HLOOKUP(Introduction!D$11,'Model data'!$B$2:$F$17,ROW()-ROW(A$24)+2,FALSE)</f>
        <v>-0.65863624320988345</v>
      </c>
      <c r="C30" s="74">
        <f t="shared" si="0"/>
        <v>-0.65863624320988345</v>
      </c>
      <c r="D30" s="34">
        <f t="shared" si="1"/>
        <v>0.78872756141577427</v>
      </c>
    </row>
    <row r="31" spans="1:7" ht="15.75" customHeight="1">
      <c r="A31" s="150">
        <f t="shared" si="2"/>
        <v>50</v>
      </c>
      <c r="B31" s="74">
        <f>HLOOKUP(Introduction!D$11,'Model data'!$B$2:$F$17,ROW()-ROW(A$24)+2,FALSE)</f>
        <v>-0.56432091512237903</v>
      </c>
      <c r="C31" s="74">
        <f t="shared" si="0"/>
        <v>-0.56432091512237903</v>
      </c>
      <c r="D31" s="34">
        <f t="shared" si="1"/>
        <v>0.75558816659335271</v>
      </c>
    </row>
    <row r="32" spans="1:7" ht="15.75" customHeight="1">
      <c r="A32" s="150">
        <f t="shared" si="2"/>
        <v>55</v>
      </c>
      <c r="B32" s="74">
        <f>HLOOKUP(Introduction!D$11,'Model data'!$B$2:$F$17,ROW()-ROW(A$24)+2,FALSE)</f>
        <v>-0.44835796349979129</v>
      </c>
      <c r="C32" s="74">
        <f t="shared" si="0"/>
        <v>-0.44835796349979129</v>
      </c>
      <c r="D32" s="34">
        <f t="shared" si="1"/>
        <v>0.71027415735971011</v>
      </c>
    </row>
    <row r="33" spans="1:4" ht="15.75" customHeight="1">
      <c r="A33" s="150">
        <f t="shared" si="2"/>
        <v>60</v>
      </c>
      <c r="B33" s="74">
        <f>HLOOKUP(Introduction!D$11,'Model data'!$B$2:$F$17,ROW()-ROW(A$24)+2,FALSE)</f>
        <v>-0.30638850188113281</v>
      </c>
      <c r="C33" s="74">
        <f t="shared" si="0"/>
        <v>-0.30638850188113281</v>
      </c>
      <c r="D33" s="34">
        <f t="shared" si="1"/>
        <v>0.64857401363075629</v>
      </c>
    </row>
    <row r="34" spans="1:4" ht="15.75" customHeight="1">
      <c r="A34" s="150">
        <f t="shared" si="2"/>
        <v>65</v>
      </c>
      <c r="B34" s="74">
        <f>HLOOKUP(Introduction!D$11,'Model data'!$B$2:$F$17,ROW()-ROW(A$24)+2,FALSE)</f>
        <v>-0.13218620461701414</v>
      </c>
      <c r="C34" s="74">
        <f t="shared" si="0"/>
        <v>-0.13218620461701414</v>
      </c>
      <c r="D34" s="34">
        <f t="shared" si="1"/>
        <v>0.56571082144915019</v>
      </c>
    </row>
    <row r="35" spans="1:4" ht="15.75" customHeight="1">
      <c r="A35" s="150">
        <f t="shared" si="2"/>
        <v>70</v>
      </c>
      <c r="B35" s="74">
        <f>HLOOKUP(Introduction!D$11,'Model data'!$B$2:$F$17,ROW()-ROW(A$24)+2,FALSE)</f>
        <v>8.1075417880201409E-2</v>
      </c>
      <c r="C35" s="74">
        <f t="shared" si="0"/>
        <v>8.1075417880201409E-2</v>
      </c>
      <c r="D35" s="34">
        <f t="shared" si="1"/>
        <v>0.45955087928190458</v>
      </c>
    </row>
    <row r="36" spans="1:4" ht="15.75" customHeight="1">
      <c r="A36" s="150">
        <f t="shared" si="2"/>
        <v>75</v>
      </c>
      <c r="B36" s="74">
        <f>HLOOKUP(Introduction!D$11,'Model data'!$B$2:$F$17,ROW()-ROW(A$24)+2,FALSE)</f>
        <v>0.34157292464829403</v>
      </c>
      <c r="C36" s="74">
        <f t="shared" si="0"/>
        <v>0.34157292464829403</v>
      </c>
      <c r="D36" s="34">
        <f t="shared" si="1"/>
        <v>0.33555954367971813</v>
      </c>
    </row>
    <row r="37" spans="1:4" ht="15.75" customHeight="1">
      <c r="A37" s="150">
        <f t="shared" si="2"/>
        <v>80</v>
      </c>
      <c r="B37" s="74">
        <f>HLOOKUP(Introduction!D$11,'Model data'!$B$2:$F$17,ROW()-ROW(A$24)+2,FALSE)</f>
        <v>0.6615291707175992</v>
      </c>
      <c r="C37" s="74">
        <f t="shared" si="0"/>
        <v>0.6615291707175992</v>
      </c>
      <c r="D37" s="34">
        <f t="shared" si="1"/>
        <v>0.21030991517579642</v>
      </c>
    </row>
    <row r="38" spans="1:4" ht="15.75" customHeight="1">
      <c r="A38" s="151">
        <f t="shared" si="2"/>
        <v>85</v>
      </c>
      <c r="B38" s="39">
        <f>HLOOKUP(Introduction!D$11,'Model data'!$B$2:$F$17,ROW()-ROW(A$24)+2,FALSE)</f>
        <v>1.067151820502233</v>
      </c>
      <c r="C38" s="39">
        <f t="shared" si="0"/>
        <v>1.067151820502233</v>
      </c>
      <c r="D38" s="39">
        <f t="shared" si="1"/>
        <v>0.1058071243893276</v>
      </c>
    </row>
  </sheetData>
  <phoneticPr fontId="59" type="noConversion"/>
  <dataValidations count="3">
    <dataValidation type="decimal" allowBlank="1" showInputMessage="1" showErrorMessage="1" error="0.6&lt;β&lt;1.5" promptTitle="Slope parameter" prompt="β can vary between 0.6 (relatively high mortality at younger ages) and 1.5 (relatively high mortality at older ages) around a central value of one." sqref="D20" xr:uid="{00000000-0002-0000-0100-000000000000}">
      <formula1>0.6</formula1>
      <formula2>1.5</formula2>
    </dataValidation>
    <dataValidation type="decimal" allowBlank="1" showInputMessage="1" showErrorMessage="1" error="-1.5&lt;α&lt;1" promptTitle="Level parameter" prompt="α can vary from -1.5 (low mortality) to 1 (high mortality) around a central value of zero" sqref="D19" xr:uid="{00000000-0002-0000-0100-000001000000}">
      <formula1>-1.5</formula1>
      <formula2>1</formula2>
    </dataValidation>
    <dataValidation type="decimal" allowBlank="1" showInputMessage="1" showErrorMessage="1" error="Enter numeric values of the logits" sqref="G3:G17" xr:uid="{00000000-0002-0000-0100-000002000000}">
      <formula1>-2</formula1>
      <formula2>2</formula2>
    </dataValidation>
  </dataValidations>
  <pageMargins left="0.70866141732283472" right="0.70866141732283472" top="0.74803149606299213" bottom="0.74803149606299213" header="0.31496062992125984" footer="0.31496062992125984"/>
  <pageSetup paperSize="9" orientation="portrait" verticalDpi="0" r:id="rId1"/>
  <headerFooter>
    <oddHeader>&amp;L&amp;"+,Bold"&amp;13Tools for Demographic Estimation&amp;R&amp;"+,Bold"&amp;13Orphanhood before &amp;&amp; since 1st marriage</oddHeader>
    <oddFooter>&amp;L&amp;"+,Regular"&amp;12&amp;F&amp;R&amp;"+,Regular"&amp;12&amp;D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2">
    <tabColor theme="7" tint="0.59999389629810485"/>
  </sheetPr>
  <dimension ref="A1:AW66"/>
  <sheetViews>
    <sheetView topLeftCell="A5" workbookViewId="0">
      <selection activeCell="D29" sqref="D29"/>
    </sheetView>
  </sheetViews>
  <sheetFormatPr defaultColWidth="8.6640625" defaultRowHeight="13.8"/>
  <cols>
    <col min="1" max="1" width="6.109375" style="1" customWidth="1"/>
    <col min="2" max="2" width="10.33203125" style="1" customWidth="1"/>
    <col min="3" max="4" width="9.109375" style="1" customWidth="1"/>
    <col min="5" max="5" width="8.109375" style="1" customWidth="1"/>
    <col min="6" max="6" width="4.21875" style="1" customWidth="1"/>
    <col min="7" max="9" width="8.6640625" style="1" customWidth="1"/>
    <col min="10" max="10" width="9.109375" style="1" customWidth="1"/>
    <col min="11" max="11" width="10.33203125" style="1" customWidth="1"/>
    <col min="12" max="12" width="2.6640625" style="1" customWidth="1"/>
    <col min="13" max="13" width="8.77734375" style="1" customWidth="1"/>
    <col min="14" max="15" width="8.6640625" style="1"/>
    <col min="16" max="16" width="8.6640625" style="9"/>
    <col min="17" max="17" width="11" style="9" customWidth="1"/>
    <col min="18" max="20" width="8.6640625" style="9"/>
    <col min="21" max="21" width="2.6640625" style="9" customWidth="1"/>
    <col min="22" max="37" width="8.6640625" style="9"/>
    <col min="38" max="40" width="8.6640625" style="1"/>
    <col min="41" max="42" width="8.6640625" style="1" customWidth="1"/>
    <col min="43" max="16384" width="8.6640625" style="1"/>
  </cols>
  <sheetData>
    <row r="1" spans="1:47" ht="15.6">
      <c r="A1" s="271" t="s">
        <v>102</v>
      </c>
      <c r="B1" s="269"/>
      <c r="C1" s="269"/>
      <c r="D1" s="23"/>
      <c r="E1" s="23"/>
      <c r="F1" s="23"/>
      <c r="G1" s="210" t="str">
        <f>Introduction!D10</f>
        <v>埃及</v>
      </c>
      <c r="H1" s="210" t="s">
        <v>75</v>
      </c>
      <c r="J1" s="270" t="s">
        <v>103</v>
      </c>
      <c r="K1" s="229">
        <f>Introduction!D13</f>
        <v>32462</v>
      </c>
      <c r="L1" s="52"/>
      <c r="M1" s="22" t="s">
        <v>128</v>
      </c>
      <c r="N1" s="23"/>
      <c r="O1" s="23"/>
      <c r="P1" s="23"/>
      <c r="Q1" s="23"/>
      <c r="R1" s="23"/>
      <c r="S1" s="270" t="s">
        <v>103</v>
      </c>
      <c r="T1" s="73">
        <f>YEAR(K1)+YEARFRAC(DATE(YEAR(K1),1,1),K1,1)</f>
        <v>1988.8715846994535</v>
      </c>
      <c r="U1" s="53"/>
      <c r="V1" s="55" t="s">
        <v>137</v>
      </c>
      <c r="W1" s="23"/>
      <c r="X1" s="23"/>
      <c r="Y1" s="23"/>
      <c r="Z1" s="23"/>
      <c r="AL1" s="2"/>
      <c r="AN1" s="14"/>
      <c r="AO1" s="15"/>
      <c r="AP1" s="15"/>
      <c r="AQ1" s="15"/>
      <c r="AR1" s="15"/>
      <c r="AS1" s="15"/>
      <c r="AT1" s="15"/>
      <c r="AU1" s="15"/>
    </row>
    <row r="2" spans="1:47" ht="16.5" customHeight="1">
      <c r="A2" s="272"/>
      <c r="B2" s="273"/>
      <c r="C2" s="273"/>
      <c r="D2" s="273"/>
      <c r="E2" s="273"/>
      <c r="F2" s="273"/>
      <c r="G2" s="272"/>
      <c r="H2" s="273"/>
      <c r="I2" s="272"/>
      <c r="J2" s="297" t="s">
        <v>113</v>
      </c>
      <c r="K2" s="93"/>
      <c r="L2" s="54"/>
      <c r="M2" s="280" t="s">
        <v>93</v>
      </c>
      <c r="N2" s="280" t="s">
        <v>129</v>
      </c>
      <c r="O2" s="280" t="s">
        <v>130</v>
      </c>
      <c r="P2" s="280" t="s">
        <v>107</v>
      </c>
      <c r="Q2" s="280" t="s">
        <v>131</v>
      </c>
      <c r="R2" s="280" t="s">
        <v>132</v>
      </c>
      <c r="S2" s="280" t="s">
        <v>133</v>
      </c>
      <c r="T2" s="27"/>
      <c r="U2" s="53"/>
      <c r="V2" s="56"/>
      <c r="W2" s="56"/>
      <c r="X2" s="56"/>
      <c r="Y2" s="56"/>
      <c r="Z2" s="23"/>
      <c r="AL2" s="2"/>
      <c r="AQ2" s="12"/>
      <c r="AR2" s="11"/>
      <c r="AS2" s="8"/>
      <c r="AT2" s="8"/>
      <c r="AU2" s="9"/>
    </row>
    <row r="3" spans="1:47" ht="16.5" customHeight="1">
      <c r="A3" s="274" t="s">
        <v>93</v>
      </c>
      <c r="B3" s="274" t="s">
        <v>104</v>
      </c>
      <c r="C3" s="274" t="s">
        <v>105</v>
      </c>
      <c r="D3" s="274" t="s">
        <v>105</v>
      </c>
      <c r="E3" s="299" t="s">
        <v>106</v>
      </c>
      <c r="F3" s="275"/>
      <c r="G3" s="274" t="s">
        <v>24</v>
      </c>
      <c r="H3" s="274" t="s">
        <v>107</v>
      </c>
      <c r="I3" s="274" t="s">
        <v>108</v>
      </c>
      <c r="J3" s="298"/>
      <c r="K3" s="198"/>
      <c r="L3" s="54"/>
      <c r="M3" s="274" t="s">
        <v>109</v>
      </c>
      <c r="N3" s="274" t="s">
        <v>93</v>
      </c>
      <c r="O3" s="274" t="s">
        <v>118</v>
      </c>
      <c r="P3" s="274" t="s">
        <v>136</v>
      </c>
      <c r="Q3" s="274" t="s">
        <v>153</v>
      </c>
      <c r="R3" s="274" t="s">
        <v>134</v>
      </c>
      <c r="S3" s="274" t="s">
        <v>135</v>
      </c>
      <c r="T3" s="60" t="s">
        <v>114</v>
      </c>
      <c r="U3" s="53"/>
      <c r="V3" s="62" t="s">
        <v>7</v>
      </c>
      <c r="W3" s="28" t="s">
        <v>19</v>
      </c>
      <c r="X3" s="28" t="s">
        <v>20</v>
      </c>
      <c r="Y3" s="28" t="s">
        <v>21</v>
      </c>
      <c r="Z3" s="23"/>
      <c r="AA3" s="13"/>
      <c r="AD3" s="13"/>
      <c r="AE3" s="13"/>
      <c r="AF3" s="13"/>
      <c r="AG3" s="13"/>
      <c r="AH3" s="13"/>
      <c r="AI3" s="13"/>
      <c r="AJ3" s="13"/>
      <c r="AK3" s="13"/>
      <c r="AL3" s="2"/>
      <c r="AM3" s="3"/>
      <c r="AN3" s="11"/>
      <c r="AQ3" s="12"/>
      <c r="AR3" s="11"/>
      <c r="AS3" s="8"/>
      <c r="AT3" s="8"/>
      <c r="AU3" s="9"/>
    </row>
    <row r="4" spans="1:47" ht="16.2">
      <c r="A4" s="276" t="s">
        <v>109</v>
      </c>
      <c r="B4" s="276" t="s">
        <v>110</v>
      </c>
      <c r="C4" s="276" t="s">
        <v>111</v>
      </c>
      <c r="D4" s="276" t="s">
        <v>112</v>
      </c>
      <c r="E4" s="300"/>
      <c r="F4" s="277" t="s">
        <v>7</v>
      </c>
      <c r="G4" s="276" t="s">
        <v>39</v>
      </c>
      <c r="H4" s="276" t="s">
        <v>25</v>
      </c>
      <c r="I4" s="278" t="s">
        <v>26</v>
      </c>
      <c r="J4" s="59" t="str">
        <f>Introduction!D$12</f>
        <v>30q30</v>
      </c>
      <c r="K4" s="60" t="s">
        <v>114</v>
      </c>
      <c r="L4" s="61"/>
      <c r="M4" s="29"/>
      <c r="N4" s="30" t="s">
        <v>13</v>
      </c>
      <c r="O4" s="31" t="s">
        <v>14</v>
      </c>
      <c r="P4" s="30" t="s">
        <v>15</v>
      </c>
      <c r="Q4" s="31" t="s">
        <v>16</v>
      </c>
      <c r="R4" s="31" t="s">
        <v>17</v>
      </c>
      <c r="S4" s="30" t="s">
        <v>18</v>
      </c>
      <c r="T4" s="29"/>
      <c r="U4" s="53"/>
      <c r="V4" s="69"/>
      <c r="W4" s="69"/>
      <c r="X4" s="69"/>
      <c r="Y4" s="69"/>
      <c r="Z4" s="23"/>
      <c r="AL4" s="2"/>
      <c r="AM4" s="3"/>
      <c r="AN4" s="2"/>
      <c r="AQ4" s="12"/>
      <c r="AR4" s="11"/>
      <c r="AS4" s="8"/>
      <c r="AT4" s="8"/>
      <c r="AU4" s="9"/>
    </row>
    <row r="5" spans="1:47" ht="15.6">
      <c r="A5" s="63" t="s">
        <v>27</v>
      </c>
      <c r="B5" s="28"/>
      <c r="C5" s="28"/>
      <c r="D5" s="28"/>
      <c r="E5" s="28"/>
      <c r="F5" s="28"/>
      <c r="G5" s="64"/>
      <c r="H5" s="34"/>
      <c r="I5" s="65"/>
      <c r="J5" s="66"/>
      <c r="K5" s="67"/>
      <c r="L5" s="61"/>
      <c r="M5" s="68"/>
      <c r="N5" s="62"/>
      <c r="O5" s="28"/>
      <c r="P5" s="62"/>
      <c r="Q5" s="28"/>
      <c r="R5" s="28"/>
      <c r="S5" s="62"/>
      <c r="T5" s="68"/>
      <c r="U5" s="53"/>
      <c r="V5" s="50"/>
      <c r="W5" s="50"/>
      <c r="X5" s="50"/>
      <c r="Y5" s="50"/>
      <c r="Z5" s="23"/>
      <c r="AL5" s="2"/>
      <c r="AM5" s="3"/>
      <c r="AN5" s="11"/>
      <c r="AQ5" s="12"/>
      <c r="AR5" s="11"/>
      <c r="AS5" s="8"/>
      <c r="AT5" s="8"/>
      <c r="AU5" s="9"/>
    </row>
    <row r="6" spans="1:47" ht="15">
      <c r="A6" s="32" t="s">
        <v>11</v>
      </c>
      <c r="B6" s="235"/>
      <c r="C6" s="235"/>
      <c r="D6" s="236"/>
      <c r="E6" s="190">
        <f>$C$56</f>
        <v>26.503407155025553</v>
      </c>
      <c r="F6" s="213">
        <v>10</v>
      </c>
      <c r="G6" s="34">
        <f t="shared" ref="G6:G14" si="0">W6+X6*E6+Y6*D6</f>
        <v>-0.25627074105621805</v>
      </c>
      <c r="H6" s="74">
        <f>'Model data'!D28</f>
        <v>0.83350486950461589</v>
      </c>
      <c r="I6" s="241" t="e">
        <f>-0.5*LN(1+(G6/H6-1/'Model data'!D$26)/(1-G6))</f>
        <v>#NUM!</v>
      </c>
      <c r="J6" s="241" t="e">
        <f>1-(1+EXP(2*(I6+IF(Introduction!D$12="45q15",'Model data'!$C$24,'Model data'!$C$27))))/(1+EXP(2*(I6+'Model data'!$C$33)))</f>
        <v>#NUM!</v>
      </c>
      <c r="K6" s="242" t="e">
        <f>T6</f>
        <v>#NUM!</v>
      </c>
      <c r="L6" s="70"/>
      <c r="M6" s="32" t="s">
        <v>11</v>
      </c>
      <c r="N6" s="33">
        <f>7.5</f>
        <v>7.5</v>
      </c>
      <c r="O6" s="34">
        <f t="shared" ref="O6:O7" si="1">D6</f>
        <v>0</v>
      </c>
      <c r="P6" s="74">
        <f t="shared" ref="P6:P14" si="2">(1-(E6+N6)/80)/(1-E6/80)</f>
        <v>0.85980415572008584</v>
      </c>
      <c r="Q6" s="34" t="e">
        <f t="shared" ref="Q6:Q14" si="3">LN(O6/P6)/3</f>
        <v>#NUM!</v>
      </c>
      <c r="R6" s="33">
        <f t="shared" ref="R6:R14" si="4">N6/2</f>
        <v>3.75</v>
      </c>
      <c r="S6" s="35" t="e">
        <f t="shared" ref="S6:S14" si="5">R6*(1-Q6)</f>
        <v>#NUM!</v>
      </c>
      <c r="T6" s="71" t="e">
        <f>Date_of_survey-S6</f>
        <v>#NUM!</v>
      </c>
      <c r="U6" s="53"/>
      <c r="V6" s="32">
        <f>10</f>
        <v>10</v>
      </c>
      <c r="W6" s="34">
        <v>-0.28939999999999999</v>
      </c>
      <c r="X6" s="132">
        <v>1.25E-3</v>
      </c>
      <c r="Y6" s="34">
        <v>1.2559</v>
      </c>
      <c r="Z6" s="23"/>
      <c r="AL6" s="2"/>
      <c r="AM6" s="3"/>
      <c r="AN6" s="2"/>
      <c r="AQ6" s="12"/>
      <c r="AR6" s="11"/>
      <c r="AS6" s="8"/>
      <c r="AT6" s="8"/>
      <c r="AU6" s="9"/>
    </row>
    <row r="7" spans="1:47" ht="15">
      <c r="A7" s="32" t="s">
        <v>12</v>
      </c>
      <c r="B7" s="235"/>
      <c r="C7" s="235"/>
      <c r="D7" s="236"/>
      <c r="E7" s="190">
        <f t="shared" ref="E7:E14" si="6">$C$56</f>
        <v>26.503407155025553</v>
      </c>
      <c r="F7" s="213">
        <v>15</v>
      </c>
      <c r="G7" s="34">
        <f t="shared" si="0"/>
        <v>-0.11296243611584328</v>
      </c>
      <c r="H7" s="74">
        <f>'Model data'!D29</f>
        <v>0.81376319977144118</v>
      </c>
      <c r="I7" s="241" t="e">
        <f>-0.5*LN(1+(G7/H7-1/'Model data'!D$26)/(1-G7))</f>
        <v>#NUM!</v>
      </c>
      <c r="J7" s="241" t="e">
        <f>1-(1+EXP(2*(I7+IF(Introduction!D$12="45q15",'Model data'!$C$24,'Model data'!$C$27))))/(1+EXP(2*(I7+'Model data'!$C$33)))</f>
        <v>#NUM!</v>
      </c>
      <c r="K7" s="242" t="e">
        <f>T7</f>
        <v>#NUM!</v>
      </c>
      <c r="L7" s="70"/>
      <c r="M7" s="32" t="s">
        <v>12</v>
      </c>
      <c r="N7" s="33">
        <f>N6+5</f>
        <v>12.5</v>
      </c>
      <c r="O7" s="34">
        <f t="shared" si="1"/>
        <v>0</v>
      </c>
      <c r="P7" s="74">
        <f t="shared" si="2"/>
        <v>0.76634025953347651</v>
      </c>
      <c r="Q7" s="34" t="e">
        <f t="shared" si="3"/>
        <v>#NUM!</v>
      </c>
      <c r="R7" s="33">
        <f t="shared" si="4"/>
        <v>6.25</v>
      </c>
      <c r="S7" s="35" t="e">
        <f t="shared" si="5"/>
        <v>#NUM!</v>
      </c>
      <c r="T7" s="71" t="e">
        <f>Date_of_survey-S7</f>
        <v>#NUM!</v>
      </c>
      <c r="U7" s="53"/>
      <c r="V7" s="84">
        <f>V6+5</f>
        <v>15</v>
      </c>
      <c r="W7" s="34">
        <v>-0.17180000000000001</v>
      </c>
      <c r="X7" s="132">
        <v>2.2200000000000002E-3</v>
      </c>
      <c r="Y7" s="34">
        <v>1.1123000000000001</v>
      </c>
      <c r="Z7" s="23"/>
      <c r="AL7" s="2"/>
      <c r="AM7" s="3"/>
      <c r="AN7" s="11"/>
      <c r="AQ7" s="12"/>
      <c r="AR7" s="11"/>
      <c r="AS7" s="8"/>
      <c r="AT7" s="8"/>
      <c r="AU7" s="9"/>
    </row>
    <row r="8" spans="1:47" ht="15">
      <c r="A8" s="32" t="s">
        <v>0</v>
      </c>
      <c r="B8" s="235"/>
      <c r="C8" s="235"/>
      <c r="D8" s="236">
        <v>0.93269999999999997</v>
      </c>
      <c r="E8" s="190">
        <f t="shared" si="6"/>
        <v>26.503407155025553</v>
      </c>
      <c r="F8" s="213">
        <v>20</v>
      </c>
      <c r="G8" s="34">
        <f t="shared" si="0"/>
        <v>0.92895942461669501</v>
      </c>
      <c r="H8" s="74">
        <f>'Model data'!D30</f>
        <v>0.78872756141577427</v>
      </c>
      <c r="I8" s="241">
        <f>-0.5*LN(1+(G8/H8-1/'Model data'!D$26)/(1-G8))</f>
        <v>-0.11976675857303902</v>
      </c>
      <c r="J8" s="241">
        <f>1-(1+EXP(2*(I8+IF(Introduction!D$12="45q15",'Model data'!$C$24,'Model data'!$C$27))))/(1+EXP(2*(I8+'Model data'!$C$33)))</f>
        <v>0.20123100995026955</v>
      </c>
      <c r="K8" s="242">
        <f>T8</f>
        <v>1981.0739405406675</v>
      </c>
      <c r="L8" s="70"/>
      <c r="M8" s="32" t="s">
        <v>0</v>
      </c>
      <c r="N8" s="33">
        <f t="shared" ref="N8:N14" si="7">N7+5</f>
        <v>17.5</v>
      </c>
      <c r="O8" s="34">
        <f>D8</f>
        <v>0.93269999999999997</v>
      </c>
      <c r="P8" s="74">
        <f t="shared" si="2"/>
        <v>0.67287636334686718</v>
      </c>
      <c r="Q8" s="34">
        <f t="shared" si="3"/>
        <v>0.10884066756732885</v>
      </c>
      <c r="R8" s="33">
        <f t="shared" si="4"/>
        <v>8.75</v>
      </c>
      <c r="S8" s="35">
        <f t="shared" si="5"/>
        <v>7.7976441587858734</v>
      </c>
      <c r="T8" s="71">
        <f>Date_of_survey-S8</f>
        <v>1981.0739405406675</v>
      </c>
      <c r="U8" s="53"/>
      <c r="V8" s="84">
        <f t="shared" ref="V8:V14" si="8">V7+5</f>
        <v>20</v>
      </c>
      <c r="W8" s="34">
        <v>-0.15129999999999999</v>
      </c>
      <c r="X8" s="132">
        <v>3.7200000000000002E-3</v>
      </c>
      <c r="Y8" s="34">
        <v>1.0525</v>
      </c>
      <c r="Z8" s="23"/>
      <c r="AL8" s="2"/>
      <c r="AM8" s="3"/>
      <c r="AN8" s="2"/>
      <c r="AQ8" s="12"/>
      <c r="AR8" s="11"/>
      <c r="AS8" s="8"/>
      <c r="AT8" s="8"/>
      <c r="AU8" s="9"/>
    </row>
    <row r="9" spans="1:47" ht="15">
      <c r="A9" s="32" t="s">
        <v>1</v>
      </c>
      <c r="B9" s="235"/>
      <c r="C9" s="235"/>
      <c r="D9" s="236">
        <v>0.90410000000000001</v>
      </c>
      <c r="E9" s="190">
        <f t="shared" si="6"/>
        <v>26.503407155025553</v>
      </c>
      <c r="F9" s="213">
        <v>25</v>
      </c>
      <c r="G9" s="34">
        <f t="shared" si="0"/>
        <v>0.90274943592844969</v>
      </c>
      <c r="H9" s="74">
        <f>'Model data'!D31</f>
        <v>0.75558816659335271</v>
      </c>
      <c r="I9" s="241">
        <f>-0.5*LN(1+(G9/H9-1/'Model data'!D$26)/(1-G9))</f>
        <v>-0.15820659820593119</v>
      </c>
      <c r="J9" s="241">
        <f>1-(1+EXP(2*(I9+IF(Introduction!D$12="45q15",'Model data'!$C$24,'Model data'!$C$27))))/(1+EXP(2*(I9+'Model data'!$C$33)))</f>
        <v>0.19055560319987253</v>
      </c>
      <c r="K9" s="242">
        <f>T9</f>
        <v>1979.2900548417397</v>
      </c>
      <c r="L9" s="70"/>
      <c r="M9" s="32" t="s">
        <v>1</v>
      </c>
      <c r="N9" s="33">
        <f t="shared" si="7"/>
        <v>22.5</v>
      </c>
      <c r="O9" s="34">
        <f t="shared" ref="O9:O14" si="9">D9</f>
        <v>0.90410000000000001</v>
      </c>
      <c r="P9" s="74">
        <f t="shared" si="2"/>
        <v>0.57941246716025785</v>
      </c>
      <c r="Q9" s="34">
        <f t="shared" si="3"/>
        <v>0.1483084570921106</v>
      </c>
      <c r="R9" s="33">
        <f t="shared" si="4"/>
        <v>11.25</v>
      </c>
      <c r="S9" s="35">
        <f t="shared" si="5"/>
        <v>9.5815298577137558</v>
      </c>
      <c r="T9" s="71">
        <f>Date_of_survey-S9</f>
        <v>1979.2900548417397</v>
      </c>
      <c r="U9" s="53"/>
      <c r="V9" s="84">
        <f t="shared" si="8"/>
        <v>25</v>
      </c>
      <c r="W9" s="34">
        <v>-0.18079999999999999</v>
      </c>
      <c r="X9" s="132">
        <v>5.8599999999999998E-3</v>
      </c>
      <c r="Y9" s="34">
        <v>1.0266999999999999</v>
      </c>
      <c r="Z9" s="23"/>
      <c r="AL9" s="2"/>
      <c r="AM9" s="3"/>
      <c r="AN9" s="11"/>
      <c r="AQ9" s="12"/>
      <c r="AR9" s="11"/>
      <c r="AS9" s="8"/>
      <c r="AT9" s="8"/>
      <c r="AU9" s="9"/>
    </row>
    <row r="10" spans="1:47" ht="15">
      <c r="A10" s="32" t="s">
        <v>2</v>
      </c>
      <c r="B10" s="235"/>
      <c r="C10" s="235"/>
      <c r="D10" s="236">
        <v>0.85209999999999997</v>
      </c>
      <c r="E10" s="190">
        <f t="shared" si="6"/>
        <v>26.503407155025553</v>
      </c>
      <c r="F10" s="213">
        <v>30</v>
      </c>
      <c r="G10" s="34">
        <f t="shared" si="0"/>
        <v>0.85421614332197615</v>
      </c>
      <c r="H10" s="74">
        <f>'Model data'!D32</f>
        <v>0.71027415735971011</v>
      </c>
      <c r="I10" s="241">
        <f>-0.5*LN(1+(G10/H10-1/'Model data'!D$26)/(1-G10))</f>
        <v>-0.13211599328567711</v>
      </c>
      <c r="J10" s="241">
        <f>1-(1+EXP(2*(I10+IF(Introduction!D$12="45q15",'Model data'!$C$24,'Model data'!$C$27))))/(1+EXP(2*(I10+'Model data'!$C$33)))</f>
        <v>0.19776410654538701</v>
      </c>
      <c r="K10" s="242">
        <f>IF(T10&lt;T9,T10,NA())</f>
        <v>1977.6955897116711</v>
      </c>
      <c r="L10" s="70"/>
      <c r="M10" s="32" t="s">
        <v>2</v>
      </c>
      <c r="N10" s="33">
        <f t="shared" si="7"/>
        <v>27.5</v>
      </c>
      <c r="O10" s="34">
        <f t="shared" si="9"/>
        <v>0.85209999999999997</v>
      </c>
      <c r="P10" s="74">
        <f t="shared" si="2"/>
        <v>0.48594857097364846</v>
      </c>
      <c r="Q10" s="34">
        <f t="shared" si="3"/>
        <v>0.18720036452491121</v>
      </c>
      <c r="R10" s="33">
        <f t="shared" si="4"/>
        <v>13.75</v>
      </c>
      <c r="S10" s="35">
        <f t="shared" si="5"/>
        <v>11.175994987782472</v>
      </c>
      <c r="T10" s="71">
        <f t="shared" ref="T10:T14" si="10">Date_of_survey-S10</f>
        <v>1977.6955897116711</v>
      </c>
      <c r="U10" s="53"/>
      <c r="V10" s="84">
        <f t="shared" si="8"/>
        <v>30</v>
      </c>
      <c r="W10" s="34">
        <v>-0.25109999999999999</v>
      </c>
      <c r="X10" s="132">
        <v>8.8500000000000002E-3</v>
      </c>
      <c r="Y10" s="34">
        <v>1.0219</v>
      </c>
      <c r="Z10" s="23"/>
      <c r="AL10" s="2"/>
      <c r="AM10" s="3"/>
      <c r="AN10" s="2"/>
      <c r="AQ10" s="12"/>
      <c r="AR10" s="11"/>
      <c r="AS10" s="8"/>
      <c r="AT10" s="8"/>
      <c r="AU10" s="9"/>
    </row>
    <row r="11" spans="1:47" ht="15">
      <c r="A11" s="32" t="s">
        <v>3</v>
      </c>
      <c r="B11" s="235"/>
      <c r="C11" s="235"/>
      <c r="D11" s="236">
        <v>0.77110000000000001</v>
      </c>
      <c r="E11" s="190">
        <f t="shared" si="6"/>
        <v>26.503407155025553</v>
      </c>
      <c r="F11" s="213">
        <v>35</v>
      </c>
      <c r="G11" s="34">
        <f t="shared" si="0"/>
        <v>0.77710065008517892</v>
      </c>
      <c r="H11" s="74">
        <f>'Model data'!D33</f>
        <v>0.64857401363075629</v>
      </c>
      <c r="I11" s="241">
        <f>-0.5*LN(1+(G11/H11-1/'Model data'!D$26)/(1-G11))</f>
        <v>-8.1765191024896877E-2</v>
      </c>
      <c r="J11" s="241">
        <f>1-(1+EXP(2*(I11+IF(Introduction!D$12="45q15",'Model data'!$C$24,'Model data'!$C$27))))/(1+EXP(2*(I11+'Model data'!$C$33)))</f>
        <v>0.21211408578880087</v>
      </c>
      <c r="K11" s="242">
        <f>IF(T11&lt;T10,T11,NA())</f>
        <v>1976.279571150118</v>
      </c>
      <c r="L11" s="70"/>
      <c r="M11" s="32" t="s">
        <v>3</v>
      </c>
      <c r="N11" s="33">
        <f t="shared" si="7"/>
        <v>32.5</v>
      </c>
      <c r="O11" s="34">
        <f t="shared" si="9"/>
        <v>0.77110000000000001</v>
      </c>
      <c r="P11" s="74">
        <f t="shared" si="2"/>
        <v>0.39248467478703913</v>
      </c>
      <c r="Q11" s="34">
        <f t="shared" si="3"/>
        <v>0.22510685850243184</v>
      </c>
      <c r="R11" s="33">
        <f t="shared" si="4"/>
        <v>16.25</v>
      </c>
      <c r="S11" s="35">
        <f t="shared" si="5"/>
        <v>12.592013549335483</v>
      </c>
      <c r="T11" s="71">
        <f t="shared" si="10"/>
        <v>1976.279571150118</v>
      </c>
      <c r="U11" s="53"/>
      <c r="V11" s="84">
        <f t="shared" si="8"/>
        <v>35</v>
      </c>
      <c r="W11" s="34">
        <v>-0.3644</v>
      </c>
      <c r="X11" s="132">
        <v>1.2869999999999999E-2</v>
      </c>
      <c r="Y11" s="34">
        <v>1.038</v>
      </c>
      <c r="Z11" s="23"/>
      <c r="AL11" s="2"/>
      <c r="AM11" s="3"/>
      <c r="AN11" s="11"/>
      <c r="AQ11" s="12"/>
      <c r="AR11" s="11"/>
      <c r="AS11" s="8"/>
      <c r="AT11" s="8"/>
      <c r="AU11" s="9"/>
    </row>
    <row r="12" spans="1:47" ht="15">
      <c r="A12" s="32" t="s">
        <v>4</v>
      </c>
      <c r="B12" s="235"/>
      <c r="C12" s="235"/>
      <c r="D12" s="236">
        <v>0.69340000000000002</v>
      </c>
      <c r="E12" s="190">
        <f t="shared" si="6"/>
        <v>26.503407155025553</v>
      </c>
      <c r="F12" s="213">
        <v>40</v>
      </c>
      <c r="G12" s="34">
        <f t="shared" si="0"/>
        <v>0.70324917843270862</v>
      </c>
      <c r="H12" s="74">
        <f>'Model data'!D34</f>
        <v>0.56571082144915019</v>
      </c>
      <c r="I12" s="241">
        <f>-0.5*LN(1+(G12/H12-1/'Model data'!D$26)/(1-G12))</f>
        <v>-0.1253575681821929</v>
      </c>
      <c r="J12" s="241">
        <f>1-(1+EXP(2*(I12+IF(Introduction!D$12="45q15",'Model data'!$C$24,'Model data'!$C$27))))/(1+EXP(2*(I12+'Model data'!$C$33)))</f>
        <v>0.19965713637820715</v>
      </c>
      <c r="K12" s="242">
        <f>IF(T12&lt;T11,T12,NA())</f>
        <v>1975.3784220033779</v>
      </c>
      <c r="L12" s="70"/>
      <c r="M12" s="32" t="s">
        <v>4</v>
      </c>
      <c r="N12" s="33">
        <f t="shared" si="7"/>
        <v>37.5</v>
      </c>
      <c r="O12" s="34">
        <f t="shared" si="9"/>
        <v>0.69340000000000002</v>
      </c>
      <c r="P12" s="74">
        <f t="shared" si="2"/>
        <v>0.2990207786004298</v>
      </c>
      <c r="Q12" s="34">
        <f t="shared" si="3"/>
        <v>0.28036465620929529</v>
      </c>
      <c r="R12" s="33">
        <f t="shared" si="4"/>
        <v>18.75</v>
      </c>
      <c r="S12" s="35">
        <f t="shared" si="5"/>
        <v>13.493162696075713</v>
      </c>
      <c r="T12" s="71">
        <f t="shared" si="10"/>
        <v>1975.3784220033779</v>
      </c>
      <c r="U12" s="53"/>
      <c r="V12" s="84">
        <f t="shared" si="8"/>
        <v>40</v>
      </c>
      <c r="W12" s="34">
        <v>-0.5181</v>
      </c>
      <c r="X12" s="132">
        <v>1.7950000000000001E-2</v>
      </c>
      <c r="Y12" s="34">
        <v>1.0752999999999999</v>
      </c>
      <c r="Z12" s="23"/>
      <c r="AL12" s="2"/>
      <c r="AM12" s="3"/>
      <c r="AN12" s="11"/>
      <c r="AQ12" s="12"/>
      <c r="AR12" s="11"/>
      <c r="AS12" s="8"/>
      <c r="AT12" s="8"/>
      <c r="AU12" s="9"/>
    </row>
    <row r="13" spans="1:47" ht="15">
      <c r="A13" s="32" t="s">
        <v>5</v>
      </c>
      <c r="B13" s="235"/>
      <c r="C13" s="235"/>
      <c r="D13" s="236">
        <v>0.53869999999999996</v>
      </c>
      <c r="E13" s="190">
        <f t="shared" si="6"/>
        <v>26.503407155025553</v>
      </c>
      <c r="F13" s="213">
        <v>45</v>
      </c>
      <c r="G13" s="34">
        <f t="shared" si="0"/>
        <v>0.54014791557069841</v>
      </c>
      <c r="H13" s="74">
        <f>'Model data'!D35</f>
        <v>0.45955087928190458</v>
      </c>
      <c r="I13" s="241">
        <f>-0.5*LN(1+(G13/H13-1/'Model data'!D$26)/(1-G13))</f>
        <v>-1.7956401018159842E-2</v>
      </c>
      <c r="J13" s="241">
        <f>1-(1+EXP(2*(I13+IF(Introduction!D$12="45q15",'Model data'!$C$24,'Model data'!$C$27))))/(1+EXP(2*(I13+'Model data'!$C$33)))</f>
        <v>0.23107518568933083</v>
      </c>
      <c r="K13" s="242">
        <f>IF(T13&lt;T12,T13,NA())</f>
        <v>1974.4459232735139</v>
      </c>
      <c r="L13" s="70"/>
      <c r="M13" s="32" t="s">
        <v>5</v>
      </c>
      <c r="N13" s="33">
        <f t="shared" si="7"/>
        <v>42.5</v>
      </c>
      <c r="O13" s="34">
        <f t="shared" si="9"/>
        <v>0.53869999999999996</v>
      </c>
      <c r="P13" s="74">
        <f t="shared" si="2"/>
        <v>0.20555688241382045</v>
      </c>
      <c r="Q13" s="34">
        <f t="shared" si="3"/>
        <v>0.32114534466167222</v>
      </c>
      <c r="R13" s="33">
        <f t="shared" si="4"/>
        <v>21.25</v>
      </c>
      <c r="S13" s="35">
        <f t="shared" si="5"/>
        <v>14.425661425939465</v>
      </c>
      <c r="T13" s="71">
        <f t="shared" si="10"/>
        <v>1974.4459232735139</v>
      </c>
      <c r="U13" s="53"/>
      <c r="V13" s="84">
        <f t="shared" si="8"/>
        <v>45</v>
      </c>
      <c r="W13" s="34">
        <v>-0.68799999999999994</v>
      </c>
      <c r="X13" s="132">
        <v>2.342E-2</v>
      </c>
      <c r="Y13" s="34">
        <v>1.1275999999999999</v>
      </c>
      <c r="Z13" s="23"/>
      <c r="AL13" s="2"/>
      <c r="AM13" s="3"/>
      <c r="AN13" s="11"/>
      <c r="AQ13" s="12"/>
      <c r="AR13" s="11"/>
      <c r="AS13" s="8"/>
      <c r="AT13" s="8"/>
      <c r="AU13" s="9"/>
    </row>
    <row r="14" spans="1:47" ht="15">
      <c r="A14" s="37" t="s">
        <v>6</v>
      </c>
      <c r="B14" s="237"/>
      <c r="C14" s="237"/>
      <c r="D14" s="238">
        <v>0.37530000000000002</v>
      </c>
      <c r="E14" s="191">
        <f t="shared" si="6"/>
        <v>26.503407155025553</v>
      </c>
      <c r="F14" s="216">
        <v>50</v>
      </c>
      <c r="G14" s="39">
        <f t="shared" si="0"/>
        <v>0.35403304868824537</v>
      </c>
      <c r="H14" s="39">
        <f>'Model data'!D36</f>
        <v>0.33555954367971813</v>
      </c>
      <c r="I14" s="243">
        <f>-0.5*LN(1+(G14/H14-1/'Model data'!D$26)/(1-G14))</f>
        <v>8.7324087444559675E-2</v>
      </c>
      <c r="J14" s="243">
        <f>1-(1+EXP(2*(I14+IF(Introduction!D$12="45q15",'Model data'!$C$24,'Model data'!$C$27))))/(1+EXP(2*(I14+'Model data'!$C$33)))</f>
        <v>0.2639926188336984</v>
      </c>
      <c r="K14" s="244" t="e">
        <f>IF(T14&lt;T13,T14,NA())</f>
        <v>#N/A</v>
      </c>
      <c r="L14" s="70"/>
      <c r="M14" s="37" t="s">
        <v>6</v>
      </c>
      <c r="N14" s="38">
        <f t="shared" si="7"/>
        <v>47.5</v>
      </c>
      <c r="O14" s="39">
        <f t="shared" si="9"/>
        <v>0.37530000000000002</v>
      </c>
      <c r="P14" s="39">
        <f t="shared" si="2"/>
        <v>0.11209298622721112</v>
      </c>
      <c r="Q14" s="39">
        <f t="shared" si="3"/>
        <v>0.40279898170936806</v>
      </c>
      <c r="R14" s="38">
        <f t="shared" si="4"/>
        <v>23.75</v>
      </c>
      <c r="S14" s="40">
        <f t="shared" si="5"/>
        <v>14.18352418440251</v>
      </c>
      <c r="T14" s="41">
        <f t="shared" si="10"/>
        <v>1974.6880605150509</v>
      </c>
      <c r="U14" s="53"/>
      <c r="V14" s="37">
        <f t="shared" si="8"/>
        <v>50</v>
      </c>
      <c r="W14" s="39">
        <v>-0.8054</v>
      </c>
      <c r="X14" s="121">
        <v>2.7210000000000002E-2</v>
      </c>
      <c r="Y14" s="39">
        <v>1.1677999999999999</v>
      </c>
      <c r="Z14" s="23"/>
      <c r="AL14" s="2"/>
      <c r="AM14" s="3"/>
      <c r="AN14" s="11"/>
      <c r="AQ14" s="12"/>
      <c r="AR14" s="11"/>
      <c r="AS14" s="8"/>
      <c r="AT14" s="8"/>
      <c r="AU14" s="9"/>
    </row>
    <row r="15" spans="1:47" ht="15">
      <c r="A15" s="24"/>
      <c r="B15" s="72"/>
      <c r="C15" s="53"/>
      <c r="D15" s="23"/>
      <c r="E15" s="23"/>
      <c r="F15" s="23"/>
      <c r="G15" s="104"/>
      <c r="H15" s="23"/>
      <c r="I15" s="104"/>
      <c r="K15" s="89"/>
      <c r="L15" s="23"/>
      <c r="M15" s="53"/>
      <c r="N15" s="43"/>
      <c r="O15" s="44"/>
      <c r="P15" s="53"/>
      <c r="Q15" s="45"/>
      <c r="R15" s="46"/>
      <c r="S15" s="45"/>
      <c r="T15" s="45"/>
      <c r="U15" s="53"/>
      <c r="V15" s="48"/>
      <c r="W15" s="23"/>
      <c r="X15" s="23"/>
      <c r="Y15" s="23"/>
      <c r="Z15" s="73"/>
      <c r="AL15" s="2"/>
      <c r="AM15" s="3"/>
      <c r="AN15" s="2"/>
      <c r="AQ15" s="12"/>
      <c r="AR15" s="11"/>
      <c r="AS15" s="8"/>
      <c r="AT15" s="8"/>
      <c r="AU15" s="9"/>
    </row>
    <row r="16" spans="1:47" ht="15">
      <c r="A16" s="271" t="s">
        <v>102</v>
      </c>
      <c r="B16" s="23"/>
      <c r="C16" s="23"/>
      <c r="D16" s="23"/>
      <c r="E16" s="23"/>
      <c r="F16" s="23"/>
      <c r="G16" s="210" t="s">
        <v>76</v>
      </c>
      <c r="H16" s="210"/>
      <c r="K16" s="89"/>
      <c r="L16" s="23"/>
      <c r="M16" s="48"/>
      <c r="N16" s="48"/>
      <c r="O16" s="49"/>
      <c r="P16" s="48"/>
      <c r="Q16" s="48"/>
      <c r="R16" s="49"/>
      <c r="S16" s="270" t="s">
        <v>103</v>
      </c>
      <c r="T16" s="230">
        <f>Date_of_survey</f>
        <v>1988.8715846994535</v>
      </c>
      <c r="U16" s="53"/>
      <c r="V16" s="55" t="s">
        <v>138</v>
      </c>
      <c r="W16" s="53"/>
      <c r="Y16" s="53"/>
      <c r="Z16" s="23"/>
      <c r="AL16" s="2"/>
      <c r="AM16" s="3"/>
      <c r="AN16" s="11"/>
      <c r="AQ16" s="12"/>
      <c r="AR16" s="11"/>
      <c r="AS16" s="8"/>
      <c r="AT16" s="8"/>
      <c r="AU16" s="9"/>
    </row>
    <row r="17" spans="1:49" ht="16.5" customHeight="1">
      <c r="A17" s="93"/>
      <c r="B17" s="294" t="s">
        <v>119</v>
      </c>
      <c r="C17" s="279" t="s">
        <v>115</v>
      </c>
      <c r="D17" s="199"/>
      <c r="E17" s="294" t="s">
        <v>117</v>
      </c>
      <c r="F17" s="209"/>
      <c r="G17" s="93"/>
      <c r="H17" s="199"/>
      <c r="I17" s="272"/>
      <c r="J17" s="297" t="s">
        <v>113</v>
      </c>
      <c r="K17" s="93"/>
      <c r="M17" s="280" t="s">
        <v>93</v>
      </c>
      <c r="N17" s="280" t="s">
        <v>129</v>
      </c>
      <c r="O17" s="280" t="s">
        <v>130</v>
      </c>
      <c r="P17" s="280" t="s">
        <v>107</v>
      </c>
      <c r="Q17" s="280" t="s">
        <v>131</v>
      </c>
      <c r="R17" s="280" t="s">
        <v>132</v>
      </c>
      <c r="S17" s="280" t="s">
        <v>133</v>
      </c>
      <c r="T17" s="27"/>
      <c r="V17" s="92"/>
      <c r="W17" s="92"/>
      <c r="X17" s="92"/>
      <c r="Y17" s="92"/>
      <c r="Z17" s="92"/>
      <c r="AA17" s="92"/>
      <c r="AJ17" s="10"/>
      <c r="AK17" s="10"/>
      <c r="AL17" s="10"/>
      <c r="AM17" s="10"/>
      <c r="AN17" s="2"/>
      <c r="AO17" s="3"/>
      <c r="AP17" s="2"/>
      <c r="AS17" s="12"/>
      <c r="AT17" s="11"/>
      <c r="AU17" s="8"/>
      <c r="AV17" s="8"/>
      <c r="AW17" s="9"/>
    </row>
    <row r="18" spans="1:49" ht="16.5" customHeight="1">
      <c r="A18" s="274" t="s">
        <v>93</v>
      </c>
      <c r="B18" s="295"/>
      <c r="C18" s="28" t="s">
        <v>116</v>
      </c>
      <c r="D18" s="28" t="s">
        <v>105</v>
      </c>
      <c r="E18" s="295"/>
      <c r="F18" s="214"/>
      <c r="G18" s="197" t="s">
        <v>24</v>
      </c>
      <c r="H18" s="274" t="s">
        <v>107</v>
      </c>
      <c r="I18" s="274" t="s">
        <v>108</v>
      </c>
      <c r="J18" s="298"/>
      <c r="K18" s="198"/>
      <c r="M18" s="274" t="s">
        <v>109</v>
      </c>
      <c r="N18" s="274" t="s">
        <v>93</v>
      </c>
      <c r="O18" s="274" t="s">
        <v>118</v>
      </c>
      <c r="P18" s="274" t="s">
        <v>136</v>
      </c>
      <c r="Q18" s="274" t="s">
        <v>153</v>
      </c>
      <c r="R18" s="274" t="s">
        <v>134</v>
      </c>
      <c r="S18" s="274" t="s">
        <v>135</v>
      </c>
      <c r="T18" s="60" t="s">
        <v>114</v>
      </c>
      <c r="V18" s="62" t="s">
        <v>7</v>
      </c>
      <c r="W18" s="28" t="s">
        <v>19</v>
      </c>
      <c r="X18" s="28" t="s">
        <v>20</v>
      </c>
      <c r="Y18" s="28" t="s">
        <v>21</v>
      </c>
      <c r="Z18" s="28" t="s">
        <v>22</v>
      </c>
      <c r="AA18" s="28" t="s">
        <v>23</v>
      </c>
      <c r="AL18" s="9"/>
      <c r="AM18" s="9"/>
      <c r="AN18" s="2"/>
      <c r="AO18" s="3"/>
      <c r="AP18" s="11"/>
      <c r="AS18" s="12"/>
      <c r="AT18" s="11"/>
      <c r="AU18" s="8"/>
      <c r="AV18" s="8"/>
      <c r="AW18" s="9"/>
    </row>
    <row r="19" spans="1:49" ht="16.5" customHeight="1">
      <c r="A19" s="276" t="s">
        <v>109</v>
      </c>
      <c r="B19" s="296"/>
      <c r="C19" s="31" t="s">
        <v>120</v>
      </c>
      <c r="D19" s="31" t="s">
        <v>118</v>
      </c>
      <c r="E19" s="296"/>
      <c r="F19" s="223" t="s">
        <v>7</v>
      </c>
      <c r="G19" s="57" t="s">
        <v>38</v>
      </c>
      <c r="H19" s="31" t="s">
        <v>25</v>
      </c>
      <c r="I19" s="58" t="s">
        <v>26</v>
      </c>
      <c r="J19" s="59" t="str">
        <f>Introduction!D$12</f>
        <v>30q30</v>
      </c>
      <c r="K19" s="60" t="s">
        <v>114</v>
      </c>
      <c r="M19" s="29"/>
      <c r="N19" s="30" t="s">
        <v>13</v>
      </c>
      <c r="O19" s="31" t="s">
        <v>14</v>
      </c>
      <c r="P19" s="30" t="s">
        <v>15</v>
      </c>
      <c r="Q19" s="31" t="s">
        <v>16</v>
      </c>
      <c r="R19" s="31" t="s">
        <v>17</v>
      </c>
      <c r="S19" s="30" t="s">
        <v>18</v>
      </c>
      <c r="T19" s="29"/>
      <c r="V19" s="83"/>
      <c r="W19" s="83"/>
      <c r="X19" s="83"/>
      <c r="Y19" s="83"/>
      <c r="Z19" s="83"/>
      <c r="AA19" s="83"/>
      <c r="AD19" s="10"/>
      <c r="AE19" s="10"/>
      <c r="AF19" s="10"/>
      <c r="AG19" s="10"/>
      <c r="AH19" s="10"/>
      <c r="AI19" s="10"/>
      <c r="AJ19" s="16"/>
      <c r="AK19" s="16"/>
      <c r="AL19" s="16"/>
      <c r="AM19" s="7"/>
      <c r="AN19" s="2"/>
      <c r="AO19" s="3"/>
      <c r="AP19" s="2"/>
      <c r="AS19" s="12"/>
      <c r="AT19" s="11"/>
      <c r="AU19" s="8"/>
      <c r="AV19" s="8"/>
      <c r="AW19" s="9"/>
    </row>
    <row r="20" spans="1:49">
      <c r="A20" s="77"/>
      <c r="B20" s="88"/>
      <c r="C20" s="88"/>
      <c r="D20" s="77"/>
      <c r="E20" s="77"/>
      <c r="F20" s="77"/>
      <c r="G20" s="77"/>
      <c r="H20" s="34"/>
      <c r="I20" s="77"/>
      <c r="J20" s="77"/>
      <c r="K20" s="78"/>
      <c r="M20" s="50"/>
      <c r="N20" s="50"/>
      <c r="O20" s="50"/>
      <c r="P20" s="50"/>
      <c r="Q20" s="50"/>
      <c r="R20" s="50"/>
      <c r="S20" s="50"/>
      <c r="T20" s="50"/>
      <c r="V20" s="92"/>
      <c r="W20" s="77"/>
      <c r="X20" s="77"/>
      <c r="Y20" s="77"/>
      <c r="Z20" s="77"/>
      <c r="AA20" s="77"/>
      <c r="AJ20" s="16"/>
      <c r="AK20" s="16"/>
      <c r="AL20" s="16"/>
      <c r="AM20" s="7"/>
      <c r="AN20" s="2"/>
      <c r="AO20" s="3"/>
      <c r="AP20" s="11"/>
      <c r="AT20" s="11"/>
      <c r="AU20" s="8"/>
      <c r="AV20" s="8"/>
      <c r="AW20" s="9"/>
    </row>
    <row r="21" spans="1:49">
      <c r="A21" s="79" t="s">
        <v>2</v>
      </c>
      <c r="B21" s="235"/>
      <c r="C21" s="235"/>
      <c r="D21" s="236">
        <v>0.93530000000000002</v>
      </c>
      <c r="E21" s="190">
        <f>AVERAGE(E35:E36)</f>
        <v>19.7</v>
      </c>
      <c r="F21" s="221">
        <v>30</v>
      </c>
      <c r="G21" s="80">
        <f>IF(D22&gt;0,W21+X21*AVERAGE(E10,E11)+Y21*E21+Z21*D21+AA21*D22,NA())</f>
        <v>0.88975095381601332</v>
      </c>
      <c r="H21" s="34">
        <f>'Model data'!D32</f>
        <v>0.71027415735971011</v>
      </c>
      <c r="I21" s="245">
        <f>-0.5*LN(1+(G21/H21-1/'Model data'!$D$30)/(1-G21))</f>
        <v>7.4060081415127918E-2</v>
      </c>
      <c r="J21" s="241">
        <f>1-(1+EXP(2*(I21+IF(Introduction!D$12="45q15",'Model data'!$C$24,'Model data'!$C$27))))/(1+EXP(2*(I21+'Model data'!$C$33)))</f>
        <v>0.25974837039852194</v>
      </c>
      <c r="K21" s="242">
        <f>T21</f>
        <v>1984.149702518341</v>
      </c>
      <c r="M21" s="32" t="s">
        <v>2</v>
      </c>
      <c r="N21" s="36">
        <f>AVERAGE(N10:N11)-E21</f>
        <v>10.3</v>
      </c>
      <c r="O21" s="34">
        <f>SQRT(D21*D22)</f>
        <v>0.89215486323844029</v>
      </c>
      <c r="P21" s="34">
        <f>(1-(AVERAGE(N10:N11)+E10)/80)/(1-(E10+E21)/80)</f>
        <v>0.69523555089572842</v>
      </c>
      <c r="Q21" s="34">
        <f>LN(O21/P21)/3</f>
        <v>8.3129673570386406E-2</v>
      </c>
      <c r="R21" s="33">
        <f>N21/2</f>
        <v>5.15</v>
      </c>
      <c r="S21" s="35">
        <f>R21*(1-Q21)</f>
        <v>4.7218821811125107</v>
      </c>
      <c r="T21" s="36">
        <f>$T$16-S21</f>
        <v>1984.149702518341</v>
      </c>
      <c r="V21" s="32">
        <v>30</v>
      </c>
      <c r="W21" s="34">
        <v>0.56169999999999998</v>
      </c>
      <c r="X21" s="132">
        <v>8.3599999999999994E-3</v>
      </c>
      <c r="Y21" s="132">
        <f>-0.00261</f>
        <v>-2.6099999999999999E-3</v>
      </c>
      <c r="Z21" s="34">
        <f>-1.1231</f>
        <v>-1.1231</v>
      </c>
      <c r="AA21" s="34">
        <v>1.4198999999999999</v>
      </c>
      <c r="AD21" s="16"/>
      <c r="AE21" s="16"/>
      <c r="AF21" s="16"/>
      <c r="AG21" s="16"/>
      <c r="AH21" s="16"/>
      <c r="AI21" s="16"/>
      <c r="AJ21" s="16"/>
      <c r="AK21" s="16"/>
      <c r="AL21" s="16"/>
      <c r="AM21" s="7"/>
      <c r="AN21" s="2"/>
      <c r="AO21" s="3"/>
      <c r="AP21" s="6"/>
      <c r="AQ21" s="9"/>
      <c r="AT21" s="11"/>
      <c r="AU21" s="8"/>
      <c r="AV21" s="8"/>
      <c r="AW21" s="9"/>
    </row>
    <row r="22" spans="1:49">
      <c r="A22" s="79" t="s">
        <v>3</v>
      </c>
      <c r="B22" s="235"/>
      <c r="C22" s="235"/>
      <c r="D22" s="236">
        <v>0.85099999999999998</v>
      </c>
      <c r="E22" s="190">
        <f t="shared" ref="E22:E24" si="11">AVERAGE(E36:E37)</f>
        <v>18.95</v>
      </c>
      <c r="F22" s="221">
        <v>35</v>
      </c>
      <c r="G22" s="80">
        <f t="shared" ref="G22" si="12">IF(D23&gt;0,W22+X22*AVERAGE(E11,E12)+Y22*E22+Z22*D22+AA22*D23,NA())</f>
        <v>0.86213126388415673</v>
      </c>
      <c r="H22" s="34">
        <f>'Model data'!D33</f>
        <v>0.64857401363075629</v>
      </c>
      <c r="I22" s="245">
        <f>-0.5*LN(1+(G22/H22-1/'Model data'!$D$30)/(1-G22))</f>
        <v>-0.18419388843234638</v>
      </c>
      <c r="J22" s="241">
        <f>1-(1+EXP(2*(I22+IF(Introduction!D$12="45q15",'Model data'!$C$24,'Model data'!$C$27))))/(1+EXP(2*(I22+'Model data'!$C$33)))</f>
        <v>0.18353600104064716</v>
      </c>
      <c r="K22" s="242">
        <f t="shared" ref="K22:K24" si="13">T22</f>
        <v>1981.960139051612</v>
      </c>
      <c r="M22" s="32" t="s">
        <v>3</v>
      </c>
      <c r="N22" s="36">
        <f t="shared" ref="N22:N24" si="14">AVERAGE(N11:N12)-E22</f>
        <v>16.05</v>
      </c>
      <c r="O22" s="34">
        <f t="shared" ref="O22:O24" si="15">SQRT(D22*D23)</f>
        <v>0.81184943185297598</v>
      </c>
      <c r="P22" s="34">
        <f t="shared" ref="P22:P24" si="16">(1-(AVERAGE(N11:N12)+E11)/80)/(1-(E11+E22)/80)</f>
        <v>0.53541004544143267</v>
      </c>
      <c r="Q22" s="34">
        <f t="shared" ref="Q22:Q25" si="17">LN(O22/P22)/3</f>
        <v>0.13876066693563449</v>
      </c>
      <c r="R22" s="33">
        <f t="shared" ref="R22:R25" si="18">N22/2</f>
        <v>8.0250000000000004</v>
      </c>
      <c r="S22" s="35">
        <f t="shared" ref="S22:S25" si="19">R22*(1-Q22)</f>
        <v>6.9114456478415338</v>
      </c>
      <c r="T22" s="36">
        <f t="shared" ref="T22:T25" si="20">$T$16-S22</f>
        <v>1981.960139051612</v>
      </c>
      <c r="V22" s="32">
        <v>35</v>
      </c>
      <c r="W22" s="34">
        <v>4.7600000000000003E-2</v>
      </c>
      <c r="X22" s="132">
        <v>1.396E-2</v>
      </c>
      <c r="Y22" s="132">
        <f>-0.00536</f>
        <v>-5.3600000000000002E-3</v>
      </c>
      <c r="Z22" s="34">
        <f>-0.3916</f>
        <v>-0.3916</v>
      </c>
      <c r="AA22" s="34">
        <v>1.1354</v>
      </c>
      <c r="AD22" s="16"/>
      <c r="AE22" s="16"/>
      <c r="AF22" s="16"/>
      <c r="AG22" s="16"/>
      <c r="AH22" s="16"/>
      <c r="AI22" s="16"/>
      <c r="AJ22" s="16"/>
      <c r="AK22" s="16"/>
      <c r="AL22" s="16"/>
      <c r="AM22" s="7"/>
      <c r="AN22" s="2"/>
      <c r="AO22" s="3"/>
      <c r="AP22" s="6"/>
      <c r="AT22" s="11"/>
      <c r="AU22" s="8"/>
      <c r="AV22" s="8"/>
      <c r="AW22" s="9"/>
    </row>
    <row r="23" spans="1:49">
      <c r="A23" s="79" t="s">
        <v>4</v>
      </c>
      <c r="B23" s="235"/>
      <c r="C23" s="235"/>
      <c r="D23" s="236">
        <v>0.77449999999999997</v>
      </c>
      <c r="E23" s="190">
        <f t="shared" si="11"/>
        <v>18.25</v>
      </c>
      <c r="F23" s="221">
        <v>40</v>
      </c>
      <c r="G23" s="80">
        <f>IF(D24&gt;0,W23+X23*AVERAGE(E12,E13)+Y23*E23+Z23*D23+AA23*D24,NA())</f>
        <v>0.75419972466780227</v>
      </c>
      <c r="H23" s="34">
        <f>'Model data'!D34</f>
        <v>0.56571082144915019</v>
      </c>
      <c r="I23" s="245">
        <f>-0.5*LN(1+(G23/H23-1/'Model data'!$D$30)/(1-G23))</f>
        <v>-0.11783749539986084</v>
      </c>
      <c r="J23" s="241">
        <f>1-(1+EXP(2*(I23+IF(Introduction!D$12="45q15",'Model data'!$C$24,'Model data'!$C$27))))/(1+EXP(2*(I23+'Model data'!$C$33)))</f>
        <v>0.20177576700621203</v>
      </c>
      <c r="K23" s="242">
        <f t="shared" si="13"/>
        <v>1980.1184508519696</v>
      </c>
      <c r="M23" s="32" t="s">
        <v>4</v>
      </c>
      <c r="N23" s="36">
        <f t="shared" si="14"/>
        <v>21.75</v>
      </c>
      <c r="O23" s="34">
        <f t="shared" si="15"/>
        <v>0.68757166899167688</v>
      </c>
      <c r="P23" s="34">
        <f t="shared" si="16"/>
        <v>0.38291907828755778</v>
      </c>
      <c r="Q23" s="34">
        <f t="shared" si="17"/>
        <v>0.195114128967004</v>
      </c>
      <c r="R23" s="33">
        <f t="shared" si="18"/>
        <v>10.875</v>
      </c>
      <c r="S23" s="35">
        <f t="shared" si="19"/>
        <v>8.7531338474838325</v>
      </c>
      <c r="T23" s="36">
        <f t="shared" si="20"/>
        <v>1980.1184508519696</v>
      </c>
      <c r="V23" s="32">
        <v>40</v>
      </c>
      <c r="W23" s="34">
        <f>-0.3715</f>
        <v>-0.3715</v>
      </c>
      <c r="X23" s="132">
        <v>1.966E-2</v>
      </c>
      <c r="Y23" s="132">
        <f>-0.00744</f>
        <v>-7.4400000000000004E-3</v>
      </c>
      <c r="Z23" s="34">
        <v>0.53939999999999999</v>
      </c>
      <c r="AA23" s="34">
        <v>0.52859999999999996</v>
      </c>
      <c r="AD23" s="16"/>
      <c r="AE23" s="16"/>
      <c r="AF23" s="16"/>
      <c r="AG23" s="16"/>
      <c r="AH23" s="16"/>
      <c r="AI23" s="16"/>
      <c r="AJ23" s="7"/>
      <c r="AK23" s="7"/>
      <c r="AL23" s="7"/>
      <c r="AM23" s="7"/>
      <c r="AN23" s="2"/>
      <c r="AO23" s="3"/>
      <c r="AP23" s="6"/>
      <c r="AT23" s="11"/>
      <c r="AU23" s="8"/>
      <c r="AV23" s="8"/>
      <c r="AW23" s="9"/>
    </row>
    <row r="24" spans="1:49">
      <c r="A24" s="79" t="s">
        <v>5</v>
      </c>
      <c r="B24" s="235"/>
      <c r="C24" s="235"/>
      <c r="D24" s="236">
        <v>0.61040000000000005</v>
      </c>
      <c r="E24" s="190">
        <f t="shared" si="11"/>
        <v>17.75</v>
      </c>
      <c r="F24" s="221">
        <v>45</v>
      </c>
      <c r="G24" s="80">
        <f>IF(D25&gt;0,W24+X24*AVERAGE(E13,E14)+Y24*E24+Z24*D24+AA24*D25,NA())</f>
        <v>0.60488106310051115</v>
      </c>
      <c r="H24" s="34">
        <f>'Model data'!D35</f>
        <v>0.45955087928190458</v>
      </c>
      <c r="I24" s="245">
        <f>-0.5*LN(1+(G24/H24-1/'Model data'!$D$30)/(1-G24))</f>
        <v>-5.7753201696001365E-2</v>
      </c>
      <c r="J24" s="241">
        <f>1-(1+EXP(2*(I24+IF(Introduction!D$12="45q15",'Model data'!$C$24,'Model data'!$C$27))))/(1+EXP(2*(I24+'Model data'!$C$33)))</f>
        <v>0.2191518311051196</v>
      </c>
      <c r="K24" s="242">
        <f t="shared" si="13"/>
        <v>1978.8072693529896</v>
      </c>
      <c r="M24" s="32" t="s">
        <v>5</v>
      </c>
      <c r="N24" s="36">
        <f t="shared" si="14"/>
        <v>27.25</v>
      </c>
      <c r="O24" s="34">
        <f t="shared" si="15"/>
        <v>0.52059350745087096</v>
      </c>
      <c r="P24" s="34">
        <f t="shared" si="16"/>
        <v>0.23768958574100757</v>
      </c>
      <c r="Q24" s="34">
        <f t="shared" si="17"/>
        <v>0.26133465347053347</v>
      </c>
      <c r="R24" s="33">
        <f t="shared" si="18"/>
        <v>13.625</v>
      </c>
      <c r="S24" s="35">
        <f t="shared" si="19"/>
        <v>10.064315346463982</v>
      </c>
      <c r="T24" s="36">
        <f t="shared" si="20"/>
        <v>1978.8072693529896</v>
      </c>
      <c r="V24" s="32">
        <v>45</v>
      </c>
      <c r="W24" s="34">
        <f>-0.6562</f>
        <v>-0.65620000000000001</v>
      </c>
      <c r="X24" s="132">
        <v>2.5870000000000001E-2</v>
      </c>
      <c r="Y24" s="132">
        <f>-0.00716</f>
        <v>-7.1599999999999997E-3</v>
      </c>
      <c r="Z24" s="34">
        <v>1.0207999999999999</v>
      </c>
      <c r="AA24" s="34">
        <v>0.1789</v>
      </c>
      <c r="AD24" s="16"/>
      <c r="AE24" s="16"/>
      <c r="AF24" s="16"/>
      <c r="AG24" s="16"/>
      <c r="AH24" s="16"/>
      <c r="AI24" s="16"/>
      <c r="AL24" s="9"/>
      <c r="AM24" s="9"/>
      <c r="AN24" s="2"/>
      <c r="AO24" s="3"/>
      <c r="AP24" s="6"/>
      <c r="AT24" s="11"/>
      <c r="AU24" s="8"/>
      <c r="AV24" s="8"/>
      <c r="AW24" s="9"/>
    </row>
    <row r="25" spans="1:49">
      <c r="A25" s="79" t="s">
        <v>6</v>
      </c>
      <c r="B25" s="235"/>
      <c r="C25" s="235"/>
      <c r="D25" s="236">
        <v>0.44400000000000001</v>
      </c>
      <c r="E25" s="190">
        <f>AVERAGE(E39:E40)</f>
        <v>17.25</v>
      </c>
      <c r="F25" s="221"/>
      <c r="G25" s="80" t="e">
        <f>IF(D26&gt;0,W25+X25*E14+Y25*E25+Z25*D25+AA25*D26,NA())</f>
        <v>#N/A</v>
      </c>
      <c r="H25" s="34">
        <f>'Model data'!D36</f>
        <v>0.33555954367971813</v>
      </c>
      <c r="I25" s="245" t="e">
        <f>-0.5*LN(1+(G25/H25-1/'Model data'!$D$30)/(1-G25))</f>
        <v>#N/A</v>
      </c>
      <c r="J25" s="241" t="e">
        <f>1-(1+EXP(2*(I25+IF(Introduction!D$12="45q15",'Model data'!$C$24,'Model data'!$C$27))))/(1+EXP(2*(I25+'Model data'!$C$33)))</f>
        <v>#N/A</v>
      </c>
      <c r="K25" s="242" t="e">
        <f>T25</f>
        <v>#N/A</v>
      </c>
      <c r="M25" s="84" t="s">
        <v>6</v>
      </c>
      <c r="N25" s="36" t="e">
        <f>IF(D26&gt;0,50-E25,NA())</f>
        <v>#N/A</v>
      </c>
      <c r="O25" s="34" t="e">
        <f>IF(D26&gt;0,SQRT(D25*D26),NA())</f>
        <v>#N/A</v>
      </c>
      <c r="P25" s="34">
        <f>(1-(50+E14)/80)/(1-(E14+E25)/80)</f>
        <v>9.6466800615695417E-2</v>
      </c>
      <c r="Q25" s="34" t="e">
        <f t="shared" si="17"/>
        <v>#N/A</v>
      </c>
      <c r="R25" s="33" t="e">
        <f t="shared" si="18"/>
        <v>#N/A</v>
      </c>
      <c r="S25" s="35" t="e">
        <f t="shared" si="19"/>
        <v>#N/A</v>
      </c>
      <c r="T25" s="36" t="e">
        <f t="shared" si="20"/>
        <v>#N/A</v>
      </c>
      <c r="V25" s="32">
        <v>50</v>
      </c>
      <c r="W25" s="34">
        <f>-0.8341</f>
        <v>-0.83409999999999995</v>
      </c>
      <c r="X25" s="132">
        <v>3.0450000000000001E-2</v>
      </c>
      <c r="Y25" s="132">
        <f>-0.00561</f>
        <v>-5.6100000000000004E-3</v>
      </c>
      <c r="Z25" s="34">
        <v>1.1898</v>
      </c>
      <c r="AA25" s="34">
        <v>5.4100000000000002E-2</v>
      </c>
      <c r="AD25" s="7"/>
      <c r="AE25" s="7"/>
      <c r="AF25" s="7"/>
      <c r="AG25" s="7"/>
      <c r="AH25" s="7"/>
      <c r="AI25" s="7"/>
      <c r="AL25" s="9"/>
      <c r="AM25" s="9"/>
      <c r="AN25" s="2"/>
      <c r="AO25" s="3"/>
      <c r="AP25" s="3"/>
      <c r="AT25" s="11"/>
      <c r="AU25" s="8"/>
      <c r="AV25" s="8"/>
      <c r="AW25" s="9"/>
    </row>
    <row r="26" spans="1:49">
      <c r="A26" s="81" t="s">
        <v>8</v>
      </c>
      <c r="B26" s="237"/>
      <c r="C26" s="237"/>
      <c r="D26" s="238"/>
      <c r="E26" s="188"/>
      <c r="F26" s="188"/>
      <c r="G26" s="82"/>
      <c r="H26" s="82"/>
      <c r="I26" s="82"/>
      <c r="J26" s="82"/>
      <c r="K26" s="82"/>
      <c r="M26" s="83"/>
      <c r="N26" s="83"/>
      <c r="O26" s="83"/>
      <c r="P26" s="83"/>
      <c r="Q26" s="83"/>
      <c r="R26" s="83"/>
      <c r="S26" s="83"/>
      <c r="T26" s="83"/>
      <c r="V26" s="83"/>
      <c r="W26" s="82"/>
      <c r="X26" s="82"/>
      <c r="Y26" s="82"/>
      <c r="Z26" s="82"/>
      <c r="AA26" s="82"/>
      <c r="AL26" s="9"/>
      <c r="AM26" s="9"/>
      <c r="AN26" s="2"/>
      <c r="AO26" s="3"/>
      <c r="AP26" s="3"/>
      <c r="AT26" s="11"/>
      <c r="AU26" s="8"/>
      <c r="AV26" s="8"/>
      <c r="AW26" s="9"/>
    </row>
    <row r="27" spans="1:49" ht="15">
      <c r="H27" s="4" t="s">
        <v>9</v>
      </c>
      <c r="I27" s="245">
        <f>AVERAGEA(I22:I24)</f>
        <v>-0.11992819517606952</v>
      </c>
      <c r="J27" s="241">
        <f>1-(1+EXP(2*(I27+IF(Introduction!D$12="45q15",'Model data'!$C$24,'Model data'!$C$27))))/(1+EXP(2*(I27+'Model data'!$C$33)))</f>
        <v>0.20118546411148919</v>
      </c>
      <c r="K27" s="242">
        <f>AVERAGEA(K22:K24)</f>
        <v>1980.2952864188571</v>
      </c>
      <c r="M27" s="42"/>
      <c r="N27" s="43"/>
      <c r="O27" s="44"/>
      <c r="P27" s="42"/>
      <c r="Q27" s="45"/>
      <c r="R27" s="46"/>
      <c r="S27" s="45"/>
      <c r="T27" s="47"/>
      <c r="AL27" s="9"/>
      <c r="AM27" s="9"/>
      <c r="AN27" s="2"/>
      <c r="AO27" s="3"/>
      <c r="AP27" s="3"/>
      <c r="AT27" s="11"/>
      <c r="AU27" s="8"/>
      <c r="AV27" s="8"/>
      <c r="AW27" s="9"/>
    </row>
    <row r="28" spans="1:49">
      <c r="H28" s="4" t="s">
        <v>10</v>
      </c>
      <c r="I28" s="245">
        <f>AVERAGEA(I22:I23)</f>
        <v>-0.15101569191610362</v>
      </c>
      <c r="J28" s="241">
        <f>1-(1+EXP(2*(I28+IF(Introduction!D$12="45q15",'Model data'!$C$24,'Model data'!$C$27))))/(1+EXP(2*(I28+'Model data'!$C$33)))</f>
        <v>0.19252643696246052</v>
      </c>
      <c r="K28" s="242">
        <f>AVERAGEA(K22:K23)</f>
        <v>1981.0392949517909</v>
      </c>
      <c r="M28" s="9"/>
      <c r="N28" s="9"/>
      <c r="O28" s="49"/>
      <c r="P28" s="48"/>
      <c r="Q28" s="48"/>
      <c r="R28" s="49"/>
      <c r="AL28" s="9"/>
      <c r="AM28" s="9"/>
      <c r="AN28" s="2"/>
      <c r="AO28" s="3"/>
      <c r="AP28" s="3"/>
      <c r="AT28" s="11"/>
      <c r="AU28" s="8"/>
      <c r="AV28" s="8"/>
      <c r="AW28" s="9"/>
    </row>
    <row r="29" spans="1:49">
      <c r="H29" s="4"/>
      <c r="I29" s="4"/>
      <c r="J29" s="4"/>
      <c r="K29" s="4"/>
      <c r="M29" s="9"/>
      <c r="N29" s="9"/>
      <c r="O29" s="49"/>
      <c r="P29" s="48"/>
      <c r="Q29" s="48"/>
      <c r="R29" s="49"/>
      <c r="AL29" s="9"/>
      <c r="AM29" s="9"/>
      <c r="AN29" s="2"/>
      <c r="AO29" s="3"/>
      <c r="AP29" s="3"/>
      <c r="AT29" s="11"/>
      <c r="AU29" s="8"/>
      <c r="AV29" s="8"/>
      <c r="AW29" s="9"/>
    </row>
    <row r="30" spans="1:49">
      <c r="A30" s="271" t="s">
        <v>102</v>
      </c>
      <c r="B30" s="23"/>
      <c r="C30" s="23"/>
      <c r="D30" s="23"/>
      <c r="E30" s="23"/>
      <c r="F30" s="23"/>
      <c r="G30" s="210" t="s">
        <v>77</v>
      </c>
      <c r="H30" s="210"/>
      <c r="I30" s="4"/>
      <c r="J30" s="4"/>
      <c r="K30" s="90"/>
      <c r="M30" s="48"/>
      <c r="N30" s="48"/>
      <c r="O30" s="49"/>
      <c r="P30" s="48"/>
      <c r="Q30" s="48"/>
      <c r="R30" s="49"/>
      <c r="S30" s="270" t="s">
        <v>103</v>
      </c>
      <c r="T30" s="230">
        <f>Date_of_survey</f>
        <v>1988.8715846994535</v>
      </c>
      <c r="V30" s="55" t="s">
        <v>138</v>
      </c>
      <c r="AL30" s="9"/>
      <c r="AM30" s="2"/>
      <c r="AN30" s="3"/>
      <c r="AO30" s="3"/>
    </row>
    <row r="31" spans="1:49" ht="16.5" customHeight="1">
      <c r="A31" s="272"/>
      <c r="B31" s="273"/>
      <c r="C31" s="273"/>
      <c r="D31" s="273"/>
      <c r="E31" s="273"/>
      <c r="F31" s="209"/>
      <c r="G31" s="93"/>
      <c r="H31" s="199"/>
      <c r="I31" s="272"/>
      <c r="J31" s="297" t="s">
        <v>113</v>
      </c>
      <c r="K31" s="93"/>
      <c r="L31" s="90"/>
      <c r="M31" s="280" t="s">
        <v>93</v>
      </c>
      <c r="N31" s="280" t="s">
        <v>129</v>
      </c>
      <c r="O31" s="280" t="s">
        <v>130</v>
      </c>
      <c r="P31" s="280" t="s">
        <v>107</v>
      </c>
      <c r="Q31" s="280" t="s">
        <v>131</v>
      </c>
      <c r="R31" s="280" t="s">
        <v>132</v>
      </c>
      <c r="S31" s="280" t="s">
        <v>133</v>
      </c>
      <c r="T31" s="27"/>
      <c r="V31" s="92"/>
      <c r="W31" s="92"/>
      <c r="X31" s="92"/>
      <c r="Y31" s="92"/>
      <c r="Z31" s="92"/>
      <c r="AA31" s="92"/>
      <c r="AL31" s="9"/>
      <c r="AM31" s="2"/>
      <c r="AN31" s="3"/>
      <c r="AO31" s="3"/>
    </row>
    <row r="32" spans="1:49" ht="16.5" customHeight="1">
      <c r="A32" s="274" t="s">
        <v>93</v>
      </c>
      <c r="B32" s="274" t="s">
        <v>104</v>
      </c>
      <c r="C32" s="274" t="s">
        <v>105</v>
      </c>
      <c r="D32" s="274" t="s">
        <v>105</v>
      </c>
      <c r="E32" s="299" t="s">
        <v>117</v>
      </c>
      <c r="F32" s="217"/>
      <c r="G32" s="197" t="s">
        <v>34</v>
      </c>
      <c r="H32" s="274" t="s">
        <v>107</v>
      </c>
      <c r="I32" s="274" t="s">
        <v>108</v>
      </c>
      <c r="J32" s="298"/>
      <c r="K32" s="198"/>
      <c r="L32" s="90"/>
      <c r="M32" s="274" t="s">
        <v>109</v>
      </c>
      <c r="N32" s="274" t="s">
        <v>93</v>
      </c>
      <c r="O32" s="274" t="s">
        <v>118</v>
      </c>
      <c r="P32" s="274" t="s">
        <v>136</v>
      </c>
      <c r="Q32" s="274" t="s">
        <v>153</v>
      </c>
      <c r="R32" s="274" t="s">
        <v>134</v>
      </c>
      <c r="S32" s="274" t="s">
        <v>135</v>
      </c>
      <c r="T32" s="60" t="s">
        <v>114</v>
      </c>
      <c r="V32" s="62" t="s">
        <v>7</v>
      </c>
      <c r="W32" s="28" t="s">
        <v>19</v>
      </c>
      <c r="X32" s="28" t="s">
        <v>20</v>
      </c>
      <c r="Y32" s="28" t="s">
        <v>21</v>
      </c>
      <c r="Z32" s="28" t="s">
        <v>22</v>
      </c>
      <c r="AA32" s="28" t="s">
        <v>23</v>
      </c>
      <c r="AL32" s="9"/>
      <c r="AM32" s="2"/>
      <c r="AN32" s="3"/>
      <c r="AO32" s="3"/>
    </row>
    <row r="33" spans="1:41" ht="16.2">
      <c r="A33" s="276" t="s">
        <v>109</v>
      </c>
      <c r="B33" s="276" t="s">
        <v>110</v>
      </c>
      <c r="C33" s="276" t="s">
        <v>111</v>
      </c>
      <c r="D33" s="276" t="s">
        <v>112</v>
      </c>
      <c r="E33" s="300"/>
      <c r="F33" s="218"/>
      <c r="G33" s="57" t="s">
        <v>39</v>
      </c>
      <c r="H33" s="31" t="s">
        <v>28</v>
      </c>
      <c r="I33" s="58" t="s">
        <v>26</v>
      </c>
      <c r="J33" s="59" t="str">
        <f>Introduction!D$12</f>
        <v>30q30</v>
      </c>
      <c r="K33" s="60" t="s">
        <v>114</v>
      </c>
      <c r="L33" s="94"/>
      <c r="M33" s="29"/>
      <c r="N33" s="30" t="s">
        <v>13</v>
      </c>
      <c r="O33" s="31" t="s">
        <v>14</v>
      </c>
      <c r="P33" s="30" t="s">
        <v>15</v>
      </c>
      <c r="Q33" s="31" t="s">
        <v>16</v>
      </c>
      <c r="R33" s="31" t="s">
        <v>17</v>
      </c>
      <c r="S33" s="30" t="s">
        <v>18</v>
      </c>
      <c r="T33" s="29"/>
      <c r="V33" s="83"/>
      <c r="W33" s="83"/>
      <c r="X33" s="83"/>
      <c r="Y33" s="83"/>
      <c r="Z33" s="83"/>
      <c r="AA33" s="83"/>
      <c r="AL33" s="9"/>
      <c r="AM33" s="2"/>
      <c r="AN33" s="3"/>
      <c r="AO33" s="3"/>
    </row>
    <row r="34" spans="1:41">
      <c r="A34" s="88"/>
      <c r="B34" s="88"/>
      <c r="C34" s="88"/>
      <c r="D34" s="88"/>
      <c r="E34" s="88"/>
      <c r="F34" s="88"/>
      <c r="G34" s="88"/>
      <c r="H34" s="74"/>
      <c r="I34" s="88"/>
      <c r="J34" s="88"/>
      <c r="K34" s="87"/>
      <c r="L34" s="90"/>
      <c r="M34" s="100"/>
      <c r="N34" s="100"/>
      <c r="O34" s="93"/>
      <c r="P34" s="93"/>
      <c r="Q34" s="92"/>
      <c r="R34" s="92"/>
      <c r="S34" s="92"/>
      <c r="T34" s="92"/>
      <c r="V34" s="92"/>
      <c r="W34" s="77"/>
      <c r="X34" s="77"/>
      <c r="Y34" s="77"/>
      <c r="Z34" s="77"/>
      <c r="AA34" s="77"/>
      <c r="AL34" s="9"/>
      <c r="AM34" s="2"/>
      <c r="AN34" s="3"/>
      <c r="AO34" s="3"/>
    </row>
    <row r="35" spans="1:41">
      <c r="A35" s="95" t="s">
        <v>2</v>
      </c>
      <c r="B35" s="235"/>
      <c r="C35" s="235"/>
      <c r="D35" s="236">
        <v>0.91100000000000003</v>
      </c>
      <c r="E35" s="239">
        <v>20</v>
      </c>
      <c r="F35" s="219"/>
      <c r="G35" s="97">
        <f t="shared" ref="G35:G38" si="21">IF(D35&gt;0,W35+X35*E10+Y35*E35+Z35*E35*D35+AA35*D35,0)</f>
        <v>0.91747984190800691</v>
      </c>
      <c r="H35" s="74">
        <f>'Model data'!$D$30</f>
        <v>0.78872756141577427</v>
      </c>
      <c r="I35" s="245">
        <f>-0.5*LN(1+(G35/H35-1/'Model data'!$D$26)/(1-G35))</f>
        <v>-2.7541729570066353E-2</v>
      </c>
      <c r="J35" s="241">
        <f>1-(1+EXP(2*(I35+IF(Introduction!D$12="45q15",'Model data'!$C$24,'Model data'!$C$27))))/(1+EXP(2*(I35+'Model data'!$C$33)))</f>
        <v>0.22817482989362514</v>
      </c>
      <c r="K35" s="242">
        <f>T35</f>
        <v>1972.6214575576957</v>
      </c>
      <c r="L35" s="90"/>
      <c r="M35" s="84" t="s">
        <v>2</v>
      </c>
      <c r="N35" s="96">
        <v>27.5</v>
      </c>
      <c r="O35" s="88">
        <f>D35</f>
        <v>0.91100000000000003</v>
      </c>
      <c r="P35" s="101">
        <f>(80-E35-E9)/(80-E9)</f>
        <v>0.62614441525356257</v>
      </c>
      <c r="Q35" s="74">
        <f>LN(O35/P35)/3</f>
        <v>0.12498728582423206</v>
      </c>
      <c r="R35" s="71">
        <f t="shared" ref="R35:R40" si="22">E35/2</f>
        <v>10</v>
      </c>
      <c r="S35" s="86">
        <f>(N35-E35)+R35*(1-Q35)</f>
        <v>16.25012714175768</v>
      </c>
      <c r="T35" s="71">
        <f>$T$16-S35</f>
        <v>1972.6214575576957</v>
      </c>
      <c r="V35" s="208">
        <v>30</v>
      </c>
      <c r="W35" s="34">
        <f>-0.9607</f>
        <v>-0.9607</v>
      </c>
      <c r="X35" s="132">
        <v>4.1799999999999997E-3</v>
      </c>
      <c r="Y35" s="132">
        <v>4.4659999999999998E-2</v>
      </c>
      <c r="Z35" s="132">
        <f>-0.04291</f>
        <v>-4.2909999999999997E-2</v>
      </c>
      <c r="AA35" s="34">
        <v>1.8178000000000001</v>
      </c>
      <c r="AL35" s="9"/>
      <c r="AM35" s="2"/>
      <c r="AN35" s="3"/>
      <c r="AO35" s="3"/>
    </row>
    <row r="36" spans="1:41">
      <c r="A36" s="95" t="s">
        <v>3</v>
      </c>
      <c r="B36" s="235"/>
      <c r="C36" s="235"/>
      <c r="D36" s="236">
        <v>0.90610000000000002</v>
      </c>
      <c r="E36" s="239">
        <v>19.399999999999999</v>
      </c>
      <c r="F36" s="219"/>
      <c r="G36" s="97">
        <f t="shared" si="21"/>
        <v>0.9119596132950597</v>
      </c>
      <c r="H36" s="74">
        <f>'Model data'!$D$30</f>
        <v>0.78872756141577427</v>
      </c>
      <c r="I36" s="245">
        <f>-0.5*LN(1+(G36/H36-1/'Model data'!$D$26)/(1-G36))</f>
        <v>1.338682279054753E-2</v>
      </c>
      <c r="J36" s="241">
        <f>1-(1+EXP(2*(I36+IF(Introduction!D$12="45q15",'Model data'!$C$24,'Model data'!$C$27))))/(1+EXP(2*(I36+'Model data'!$C$33)))</f>
        <v>0.24067909345242788</v>
      </c>
      <c r="K36" s="242">
        <f t="shared" ref="K36:K39" si="23">T36</f>
        <v>1967.2091195435996</v>
      </c>
      <c r="M36" s="84" t="s">
        <v>3</v>
      </c>
      <c r="N36" s="96">
        <v>32.5</v>
      </c>
      <c r="O36" s="88">
        <f t="shared" ref="O36:O39" si="24">D36</f>
        <v>0.90610000000000002</v>
      </c>
      <c r="P36" s="101">
        <f>(80-E36-E10)/(80-E10)</f>
        <v>0.63736008279595591</v>
      </c>
      <c r="Q36" s="74">
        <f t="shared" ref="Q36:Q38" si="25">LN(O36/P36)/3</f>
        <v>0.11727163341712514</v>
      </c>
      <c r="R36" s="71">
        <f t="shared" si="22"/>
        <v>9.6999999999999993</v>
      </c>
      <c r="S36" s="86">
        <f>(N36-E36)+R36*(1-Q36)</f>
        <v>21.662465155853887</v>
      </c>
      <c r="T36" s="71">
        <f>$T$16-S36</f>
        <v>1967.2091195435996</v>
      </c>
      <c r="V36" s="208">
        <v>35</v>
      </c>
      <c r="W36" s="34">
        <f>-0.9921</f>
        <v>-0.99209999999999998</v>
      </c>
      <c r="X36" s="132">
        <v>4.2900000000000004E-3</v>
      </c>
      <c r="Y36" s="132">
        <v>4.7E-2</v>
      </c>
      <c r="Z36" s="132">
        <f>-0.04501</f>
        <v>-4.5010000000000001E-2</v>
      </c>
      <c r="AA36" s="34">
        <v>1.8428</v>
      </c>
      <c r="AL36" s="9"/>
      <c r="AM36" s="2"/>
      <c r="AN36" s="3"/>
      <c r="AO36" s="3"/>
    </row>
    <row r="37" spans="1:41">
      <c r="A37" s="95" t="s">
        <v>4</v>
      </c>
      <c r="B37" s="235"/>
      <c r="C37" s="235"/>
      <c r="D37" s="236">
        <v>0.89529999999999998</v>
      </c>
      <c r="E37" s="239">
        <v>18.5</v>
      </c>
      <c r="F37" s="219"/>
      <c r="G37" s="97">
        <f>IF(D37&gt;0,W37+X37*E12+Y37*E37+Z37*E37*D37+AA37*D37,0)</f>
        <v>0.89610222748126067</v>
      </c>
      <c r="H37" s="74">
        <f>'Model data'!$D$30</f>
        <v>0.78872756141577427</v>
      </c>
      <c r="I37" s="245">
        <f>-0.5*LN(1+(G37/H37-1/'Model data'!$D$26)/(1-G37))</f>
        <v>0.12160555824608398</v>
      </c>
      <c r="J37" s="241">
        <f>1-(1+EXP(2*(I37+IF(Introduction!D$12="45q15",'Model data'!$C$24,'Model data'!$C$27))))/(1+EXP(2*(I37+'Model data'!$C$33)))</f>
        <v>0.27507165901524233</v>
      </c>
      <c r="K37" s="242">
        <f t="shared" si="23"/>
        <v>1961.5890447768948</v>
      </c>
      <c r="M37" s="84" t="s">
        <v>4</v>
      </c>
      <c r="N37" s="96">
        <v>37.5</v>
      </c>
      <c r="O37" s="88">
        <f t="shared" si="24"/>
        <v>0.89529999999999998</v>
      </c>
      <c r="P37" s="101">
        <f>(80-E37-E11)/(80-E11)</f>
        <v>0.65418358410954536</v>
      </c>
      <c r="Q37" s="74">
        <f t="shared" si="25"/>
        <v>0.10459027864229013</v>
      </c>
      <c r="R37" s="71">
        <f t="shared" si="22"/>
        <v>9.25</v>
      </c>
      <c r="S37" s="86">
        <f>(N37-E37)+R37*(1-Q37)</f>
        <v>27.282539922558819</v>
      </c>
      <c r="T37" s="71">
        <f>$T$16-S37</f>
        <v>1961.5890447768948</v>
      </c>
      <c r="V37" s="208">
        <v>40</v>
      </c>
      <c r="W37" s="34">
        <f>-1.01289</f>
        <v>-1.0128900000000001</v>
      </c>
      <c r="X37" s="132">
        <v>4.3299999999999996E-3</v>
      </c>
      <c r="Y37" s="132">
        <v>4.8219999999999999E-2</v>
      </c>
      <c r="Z37" s="132">
        <f>-0.04611</f>
        <v>-4.6109999999999998E-2</v>
      </c>
      <c r="AA37" s="34">
        <v>1.8607</v>
      </c>
      <c r="AL37" s="9"/>
      <c r="AM37" s="2"/>
      <c r="AN37" s="3"/>
      <c r="AO37" s="3"/>
    </row>
    <row r="38" spans="1:41">
      <c r="A38" s="95" t="s">
        <v>5</v>
      </c>
      <c r="B38" s="235"/>
      <c r="C38" s="235"/>
      <c r="D38" s="236">
        <v>0.88249999999999995</v>
      </c>
      <c r="E38" s="239">
        <v>18</v>
      </c>
      <c r="F38" s="219"/>
      <c r="G38" s="97">
        <f t="shared" si="21"/>
        <v>0.87957998705281093</v>
      </c>
      <c r="H38" s="74">
        <f>'Model data'!$D$30</f>
        <v>0.78872756141577427</v>
      </c>
      <c r="I38" s="245">
        <f>-0.5*LN(1+(G38/H38-1/'Model data'!$D$26)/(1-G38))</f>
        <v>0.22332312598947229</v>
      </c>
      <c r="J38" s="241">
        <f>1-(1+EXP(2*(I38+IF(Introduction!D$12="45q15",'Model data'!$C$24,'Model data'!$C$27))))/(1+EXP(2*(I38+'Model data'!$C$33)))</f>
        <v>0.30867203253520303</v>
      </c>
      <c r="K38" s="242">
        <f t="shared" si="23"/>
        <v>1956.2271389820969</v>
      </c>
      <c r="M38" s="84" t="s">
        <v>5</v>
      </c>
      <c r="N38" s="96">
        <v>42.5</v>
      </c>
      <c r="O38" s="88">
        <f t="shared" si="24"/>
        <v>0.88249999999999995</v>
      </c>
      <c r="P38" s="101">
        <f>(80-E38-E12)/(80-E12)</f>
        <v>0.66352997372820632</v>
      </c>
      <c r="Q38" s="74">
        <f t="shared" si="25"/>
        <v>9.5061586960389743E-2</v>
      </c>
      <c r="R38" s="71">
        <f t="shared" si="22"/>
        <v>9</v>
      </c>
      <c r="S38" s="86">
        <f>(N38-E38)+R38*(1-Q38)</f>
        <v>32.64444571735649</v>
      </c>
      <c r="T38" s="71">
        <f>$T$16-S38</f>
        <v>1956.2271389820969</v>
      </c>
      <c r="V38" s="208">
        <v>45</v>
      </c>
      <c r="W38" s="34">
        <f>-1.0206</f>
        <v>-1.0206</v>
      </c>
      <c r="X38" s="132">
        <v>4.3400000000000001E-3</v>
      </c>
      <c r="Y38" s="132">
        <v>4.861E-2</v>
      </c>
      <c r="Z38" s="132">
        <f>-0.04648</f>
        <v>-4.648E-2</v>
      </c>
      <c r="AA38" s="34">
        <v>1.8680000000000001</v>
      </c>
      <c r="AL38" s="9"/>
      <c r="AM38" s="2"/>
      <c r="AN38" s="3"/>
      <c r="AO38" s="3"/>
    </row>
    <row r="39" spans="1:41">
      <c r="A39" s="95" t="s">
        <v>6</v>
      </c>
      <c r="B39" s="235"/>
      <c r="C39" s="235"/>
      <c r="D39" s="236">
        <v>0.84530000000000005</v>
      </c>
      <c r="E39" s="239">
        <v>17.5</v>
      </c>
      <c r="F39" s="219"/>
      <c r="G39" s="97">
        <f>IF(D39&gt;0,W39+X39*E14+Y39*E39+Z39*E39*D39+AA39*D39,0)</f>
        <v>0.83655316705281102</v>
      </c>
      <c r="H39" s="74">
        <f>'Model data'!$D$30</f>
        <v>0.78872756141577427</v>
      </c>
      <c r="I39" s="245">
        <f>-0.5*LN(1+(G39/H39-1/'Model data'!$D$26)/(1-G39))</f>
        <v>0.45709852604826146</v>
      </c>
      <c r="J39" s="241">
        <f>1-(1+EXP(2*(I39+IF(Introduction!D$12="45q15",'Model data'!$C$24,'Model data'!$C$27))))/(1+EXP(2*(I39+'Model data'!$C$33)))</f>
        <v>0.38690789831336403</v>
      </c>
      <c r="K39" s="242">
        <f t="shared" si="23"/>
        <v>1950.7869638395903</v>
      </c>
      <c r="M39" s="84" t="s">
        <v>6</v>
      </c>
      <c r="N39" s="96">
        <v>47.5</v>
      </c>
      <c r="O39" s="88">
        <f t="shared" si="24"/>
        <v>0.84530000000000005</v>
      </c>
      <c r="P39" s="101">
        <f>(80-E39-E13)/(80-E13)</f>
        <v>0.67287636334686729</v>
      </c>
      <c r="Q39" s="74">
        <f t="shared" ref="Q39" si="26">LN(O39/P39)/3</f>
        <v>7.6043330301350201E-2</v>
      </c>
      <c r="R39" s="71">
        <f t="shared" si="22"/>
        <v>8.75</v>
      </c>
      <c r="S39" s="86">
        <f>(N39-E39)+R39*(1-Q39)</f>
        <v>38.084620859863186</v>
      </c>
      <c r="T39" s="71">
        <f>$T$16-S39</f>
        <v>1950.7869638395903</v>
      </c>
      <c r="V39" s="208">
        <v>50</v>
      </c>
      <c r="W39" s="34">
        <f>-1.0206</f>
        <v>-1.0206</v>
      </c>
      <c r="X39" s="132">
        <v>4.3400000000000001E-3</v>
      </c>
      <c r="Y39" s="132">
        <v>4.861E-2</v>
      </c>
      <c r="Z39" s="132">
        <f>-0.04648</f>
        <v>-4.648E-2</v>
      </c>
      <c r="AA39" s="34">
        <v>1.8680000000000001</v>
      </c>
      <c r="AL39" s="9"/>
      <c r="AM39" s="2"/>
      <c r="AN39" s="3"/>
      <c r="AO39" s="3"/>
    </row>
    <row r="40" spans="1:41">
      <c r="A40" s="189" t="s">
        <v>8</v>
      </c>
      <c r="B40" s="82"/>
      <c r="C40" s="82"/>
      <c r="D40" s="82"/>
      <c r="E40" s="240">
        <v>17</v>
      </c>
      <c r="F40" s="220"/>
      <c r="G40" s="98"/>
      <c r="H40" s="99"/>
      <c r="I40" s="99"/>
      <c r="J40" s="82"/>
      <c r="K40" s="82"/>
      <c r="L40" s="21"/>
      <c r="M40" s="102"/>
      <c r="N40" s="102"/>
      <c r="O40" s="102"/>
      <c r="P40" s="103"/>
      <c r="Q40" s="83"/>
      <c r="R40" s="83">
        <f t="shared" si="22"/>
        <v>8.5</v>
      </c>
      <c r="S40" s="83"/>
      <c r="T40" s="82"/>
      <c r="V40" s="83"/>
      <c r="W40" s="82"/>
      <c r="X40" s="82"/>
      <c r="Y40" s="82"/>
      <c r="Z40" s="82"/>
      <c r="AA40" s="82"/>
      <c r="AL40" s="9"/>
      <c r="AM40" s="2"/>
      <c r="AN40" s="3"/>
      <c r="AO40" s="3"/>
    </row>
    <row r="41" spans="1:41">
      <c r="A41" s="75"/>
      <c r="B41" s="75"/>
      <c r="C41" s="75"/>
      <c r="D41" s="75"/>
      <c r="E41" s="75"/>
      <c r="F41" s="75"/>
      <c r="G41" s="75"/>
      <c r="H41" s="23"/>
      <c r="I41" s="23"/>
      <c r="J41" s="75"/>
      <c r="K41" s="91"/>
      <c r="L41" s="75"/>
      <c r="M41" s="75"/>
      <c r="S41" s="1"/>
      <c r="AL41" s="2"/>
      <c r="AM41" s="3"/>
      <c r="AN41" s="3"/>
    </row>
    <row r="42" spans="1:41" ht="15.6">
      <c r="A42" s="22" t="s">
        <v>121</v>
      </c>
      <c r="B42" s="168"/>
      <c r="C42" s="168"/>
      <c r="D42" s="5"/>
      <c r="E42" s="5"/>
      <c r="F42" s="5"/>
      <c r="L42" s="5"/>
      <c r="M42" s="5"/>
      <c r="S42" s="1"/>
      <c r="AL42" s="2"/>
      <c r="AM42" s="3"/>
      <c r="AN42" s="3"/>
    </row>
    <row r="43" spans="1:41" ht="13.95" customHeight="1">
      <c r="B43" s="25"/>
      <c r="C43" s="270" t="s">
        <v>126</v>
      </c>
      <c r="D43" s="228" t="s">
        <v>127</v>
      </c>
      <c r="E43" s="228"/>
      <c r="F43" s="174"/>
      <c r="G43" s="224"/>
      <c r="L43" s="76"/>
      <c r="M43" s="76"/>
      <c r="AL43" s="2"/>
      <c r="AM43" s="3"/>
      <c r="AN43" s="3"/>
    </row>
    <row r="44" spans="1:41" ht="13.95" customHeight="1">
      <c r="B44" s="26" t="s">
        <v>122</v>
      </c>
      <c r="C44" s="280" t="s">
        <v>124</v>
      </c>
      <c r="D44" s="169"/>
      <c r="E44" s="225"/>
      <c r="F44" s="225"/>
      <c r="G44" s="224"/>
      <c r="L44" s="76"/>
      <c r="M44" s="76"/>
      <c r="AL44" s="2"/>
      <c r="AM44" s="3"/>
      <c r="AN44" s="3"/>
    </row>
    <row r="45" spans="1:41">
      <c r="B45" s="65" t="s">
        <v>123</v>
      </c>
      <c r="C45" s="274" t="s">
        <v>125</v>
      </c>
      <c r="D45" s="170"/>
      <c r="E45" s="225"/>
      <c r="F45" s="225"/>
      <c r="G45" s="224"/>
      <c r="L45" s="5"/>
      <c r="M45" s="5"/>
      <c r="AL45" s="2"/>
      <c r="AM45" s="3"/>
      <c r="AN45" s="3"/>
    </row>
    <row r="46" spans="1:41">
      <c r="B46" s="31" t="s">
        <v>50</v>
      </c>
      <c r="C46" s="30" t="s">
        <v>13</v>
      </c>
      <c r="D46" s="31" t="s">
        <v>51</v>
      </c>
      <c r="E46" s="94"/>
      <c r="F46" s="94"/>
      <c r="G46" s="224"/>
      <c r="L46" s="5"/>
      <c r="M46" s="5"/>
      <c r="N46" s="5"/>
      <c r="O46" s="5"/>
      <c r="AL46" s="2"/>
      <c r="AM46" s="3"/>
      <c r="AN46" s="3"/>
    </row>
    <row r="47" spans="1:41">
      <c r="B47" s="51">
        <v>9000</v>
      </c>
      <c r="C47" s="32">
        <f>IF(D43="Age at interview",17,17.5)</f>
        <v>17.5</v>
      </c>
      <c r="D47" s="171">
        <f>B47*C47</f>
        <v>157500</v>
      </c>
      <c r="E47" s="226"/>
      <c r="F47" s="226"/>
      <c r="G47" s="224"/>
      <c r="L47" s="5"/>
      <c r="M47" s="5"/>
      <c r="N47" s="5"/>
      <c r="O47" s="5"/>
      <c r="AL47" s="2"/>
      <c r="AM47" s="3"/>
      <c r="AN47" s="3"/>
    </row>
    <row r="48" spans="1:41">
      <c r="B48" s="51">
        <v>19000</v>
      </c>
      <c r="C48" s="32">
        <f>C47+5</f>
        <v>22.5</v>
      </c>
      <c r="D48" s="171">
        <f t="shared" ref="D48:D53" si="27">B48*C48</f>
        <v>427500</v>
      </c>
      <c r="E48" s="226"/>
      <c r="F48" s="226"/>
      <c r="G48" s="224"/>
      <c r="L48" s="5"/>
      <c r="M48" s="5"/>
      <c r="N48" s="5"/>
      <c r="O48" s="5"/>
      <c r="AL48" s="2"/>
      <c r="AM48" s="3"/>
      <c r="AN48" s="3"/>
    </row>
    <row r="49" spans="1:40">
      <c r="B49" s="51">
        <v>15000</v>
      </c>
      <c r="C49" s="32">
        <f t="shared" ref="C49:C53" si="28">C48+5</f>
        <v>27.5</v>
      </c>
      <c r="D49" s="171">
        <f t="shared" si="27"/>
        <v>412500</v>
      </c>
      <c r="E49" s="226"/>
      <c r="F49" s="226"/>
      <c r="G49" s="224"/>
      <c r="L49" s="5"/>
      <c r="M49" s="5"/>
      <c r="N49" s="5"/>
      <c r="O49" s="5"/>
      <c r="AL49" s="2"/>
      <c r="AM49" s="3"/>
      <c r="AN49" s="3"/>
    </row>
    <row r="50" spans="1:40">
      <c r="B50" s="51">
        <v>9000</v>
      </c>
      <c r="C50" s="32">
        <f t="shared" si="28"/>
        <v>32.5</v>
      </c>
      <c r="D50" s="171">
        <f t="shared" si="27"/>
        <v>292500</v>
      </c>
      <c r="E50" s="226"/>
      <c r="F50" s="226"/>
      <c r="G50" s="224"/>
      <c r="L50" s="5"/>
      <c r="M50" s="5"/>
      <c r="N50" s="5"/>
      <c r="O50" s="5"/>
      <c r="AL50" s="2"/>
      <c r="AM50" s="3"/>
      <c r="AN50" s="3"/>
    </row>
    <row r="51" spans="1:40">
      <c r="B51" s="51">
        <v>4500</v>
      </c>
      <c r="C51" s="32">
        <f t="shared" si="28"/>
        <v>37.5</v>
      </c>
      <c r="D51" s="171">
        <f t="shared" si="27"/>
        <v>168750</v>
      </c>
      <c r="E51" s="226"/>
      <c r="F51" s="226"/>
      <c r="G51" s="224"/>
      <c r="L51" s="5"/>
      <c r="M51" s="5"/>
      <c r="N51" s="5"/>
      <c r="O51" s="5"/>
      <c r="AL51" s="2"/>
      <c r="AM51" s="3"/>
      <c r="AN51" s="3"/>
    </row>
    <row r="52" spans="1:40">
      <c r="B52" s="51">
        <v>1500</v>
      </c>
      <c r="C52" s="32">
        <f t="shared" si="28"/>
        <v>42.5</v>
      </c>
      <c r="D52" s="171">
        <f t="shared" si="27"/>
        <v>63750</v>
      </c>
      <c r="E52" s="226"/>
      <c r="F52" s="226"/>
      <c r="G52" s="224"/>
      <c r="L52" s="5"/>
      <c r="M52" s="5"/>
      <c r="N52" s="5"/>
      <c r="O52" s="5"/>
      <c r="AL52" s="2"/>
      <c r="AM52" s="3"/>
      <c r="AN52" s="3"/>
    </row>
    <row r="53" spans="1:40">
      <c r="B53" s="51">
        <v>700</v>
      </c>
      <c r="C53" s="32">
        <f t="shared" si="28"/>
        <v>47.5</v>
      </c>
      <c r="D53" s="171">
        <f t="shared" si="27"/>
        <v>33250</v>
      </c>
      <c r="E53" s="226"/>
      <c r="F53" s="226"/>
      <c r="G53" s="224"/>
      <c r="L53" s="5"/>
      <c r="M53" s="5"/>
      <c r="N53" s="5"/>
      <c r="O53" s="5"/>
      <c r="AL53" s="2"/>
      <c r="AM53" s="3"/>
      <c r="AN53" s="3"/>
    </row>
    <row r="54" spans="1:40">
      <c r="B54" s="172">
        <f>SUM(B47:B53)</f>
        <v>58700</v>
      </c>
      <c r="C54" s="38"/>
      <c r="D54" s="172">
        <f>SUM(D47:D53)</f>
        <v>1555750</v>
      </c>
      <c r="E54" s="227"/>
      <c r="F54" s="227"/>
      <c r="G54" s="224"/>
      <c r="L54" s="5"/>
      <c r="M54" s="5"/>
      <c r="N54" s="5"/>
      <c r="O54" s="5"/>
    </row>
    <row r="55" spans="1:40" ht="14.4" thickBot="1">
      <c r="A55" s="173"/>
      <c r="B55" s="174"/>
      <c r="C55" s="174"/>
      <c r="E55" s="224"/>
      <c r="F55" s="224"/>
      <c r="G55" s="224"/>
      <c r="L55" s="5"/>
      <c r="M55" s="5"/>
      <c r="N55" s="5"/>
      <c r="O55" s="5"/>
    </row>
    <row r="56" spans="1:40" ht="15.6" thickBot="1">
      <c r="A56" s="168"/>
      <c r="B56" s="246" t="s">
        <v>72</v>
      </c>
      <c r="C56" s="247">
        <f>D54/B54</f>
        <v>26.503407155025553</v>
      </c>
      <c r="L56" s="5"/>
      <c r="M56" s="5"/>
      <c r="N56" s="5"/>
      <c r="O56" s="5"/>
    </row>
    <row r="57" spans="1:40">
      <c r="L57" s="5"/>
      <c r="M57" s="5"/>
      <c r="N57" s="5"/>
      <c r="O57" s="5"/>
    </row>
    <row r="58" spans="1:40">
      <c r="L58" s="5"/>
      <c r="M58" s="5"/>
      <c r="N58" s="5"/>
      <c r="O58" s="5"/>
    </row>
    <row r="59" spans="1:40">
      <c r="L59" s="5"/>
      <c r="M59" s="5"/>
      <c r="N59" s="5"/>
      <c r="O59" s="5"/>
    </row>
    <row r="60" spans="1:40">
      <c r="L60" s="5"/>
      <c r="M60" s="5"/>
      <c r="N60" s="5"/>
      <c r="O60" s="5"/>
    </row>
    <row r="61" spans="1:40">
      <c r="L61" s="5"/>
      <c r="M61" s="5"/>
      <c r="N61" s="5"/>
      <c r="O61" s="5"/>
    </row>
    <row r="62" spans="1:40">
      <c r="G62" s="17"/>
      <c r="H62" s="19"/>
      <c r="I62" s="18"/>
      <c r="J62" s="18"/>
      <c r="K62" s="18"/>
      <c r="L62" s="5"/>
      <c r="M62" s="5"/>
      <c r="N62" s="5"/>
      <c r="O62" s="5"/>
    </row>
    <row r="63" spans="1:40">
      <c r="G63" s="17"/>
      <c r="H63" s="19"/>
      <c r="I63" s="18"/>
      <c r="J63" s="18"/>
      <c r="K63" s="18"/>
      <c r="L63" s="5"/>
      <c r="M63" s="5"/>
      <c r="N63" s="5"/>
      <c r="O63" s="5"/>
    </row>
    <row r="64" spans="1:40">
      <c r="G64" s="17"/>
      <c r="H64" s="19"/>
      <c r="I64" s="18"/>
      <c r="J64" s="18"/>
      <c r="K64" s="18"/>
      <c r="L64" s="5"/>
      <c r="M64" s="5"/>
      <c r="N64" s="5"/>
      <c r="O64" s="5"/>
    </row>
    <row r="65" spans="7:15">
      <c r="G65" s="17"/>
      <c r="H65" s="17"/>
      <c r="I65" s="17"/>
      <c r="J65" s="18"/>
      <c r="K65" s="18"/>
      <c r="L65" s="5"/>
      <c r="M65" s="5"/>
      <c r="N65" s="5"/>
      <c r="O65" s="5"/>
    </row>
    <row r="66" spans="7:15">
      <c r="G66" s="20"/>
      <c r="H66" s="17"/>
      <c r="I66" s="17"/>
      <c r="J66" s="18"/>
      <c r="K66" s="18"/>
      <c r="L66" s="5"/>
      <c r="M66" s="5"/>
      <c r="N66" s="5"/>
      <c r="O66" s="5"/>
    </row>
  </sheetData>
  <mergeCells count="7">
    <mergeCell ref="B17:B19"/>
    <mergeCell ref="J17:J18"/>
    <mergeCell ref="J2:J3"/>
    <mergeCell ref="E17:E19"/>
    <mergeCell ref="J31:J32"/>
    <mergeCell ref="E3:E4"/>
    <mergeCell ref="E32:E33"/>
  </mergeCells>
  <phoneticPr fontId="59" type="noConversion"/>
  <dataValidations count="5">
    <dataValidation type="decimal" operator="greaterThanOrEqual" allowBlank="1" showInputMessage="1" showErrorMessage="1" sqref="B35:D39 E26:F26 B21:D26 B6:D14" xr:uid="{00000000-0002-0000-0200-000000000000}">
      <formula1>0</formula1>
    </dataValidation>
    <dataValidation type="list" allowBlank="1" showInputMessage="1" showErrorMessage="1" sqref="F43" xr:uid="{00000000-0002-0000-0200-000001000000}">
      <formula1>"age at interview,age at birth"</formula1>
    </dataValidation>
    <dataValidation type="decimal" allowBlank="1" showInputMessage="1" showErrorMessage="1" sqref="E35:E40" xr:uid="{00000000-0002-0000-0200-000002000000}">
      <formula1>15</formula1>
      <formula2>45</formula2>
    </dataValidation>
    <dataValidation type="decimal" operator="greaterThanOrEqual" allowBlank="1" showInputMessage="1" showErrorMessage="1" error="Input number &gt;= 0" sqref="B47:B53" xr:uid="{00000000-0002-0000-0200-000003000000}">
      <formula1>0</formula1>
    </dataValidation>
    <dataValidation type="list" allowBlank="1" showInputMessage="1" showErrorMessage="1" sqref="D43" xr:uid="{00000000-0002-0000-0200-000004000000}">
      <formula1>"调查时的年龄,生育时的年龄"</formula1>
    </dataValidation>
  </dataValidations>
  <pageMargins left="0.59055118110236227" right="0.59055118110236227" top="0.98425196850393704" bottom="0.98425196850393704" header="0.51181102362204722" footer="0.51181102362204722"/>
  <pageSetup paperSize="9" scale="90" orientation="portrait" r:id="rId1"/>
  <headerFooter alignWithMargins="0">
    <oddHeader>&amp;L&amp;"+,Bold"&amp;13Tools for Demographic Estimation&amp;R&amp;"+,Bold"&amp;13Orphanhood before &amp;&amp; since 1st marriage</oddHeader>
    <oddFooter>&amp;L&amp;"+,Regular"&amp;12&amp;F&amp;R&amp;"+,Regular"&amp;12&amp;D  &amp;T</oddFooter>
  </headerFooter>
  <rowBreaks count="1" manualBreakCount="1">
    <brk id="40" max="16383" man="1"/>
  </rowBreaks>
  <colBreaks count="3" manualBreakCount="3">
    <brk id="11" max="1048575" man="1"/>
    <brk id="20" max="1048575" man="1"/>
    <brk id="37" max="1048575" man="1"/>
  </colBreaks>
  <ignoredErrors>
    <ignoredError sqref="Q6 S6:T6 K6" evalError="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4" tint="0.59999389629810485"/>
  </sheetPr>
  <dimension ref="A1:BH114"/>
  <sheetViews>
    <sheetView workbookViewId="0">
      <selection activeCell="H51" sqref="H51"/>
    </sheetView>
  </sheetViews>
  <sheetFormatPr defaultColWidth="9" defaultRowHeight="12"/>
  <cols>
    <col min="1" max="1" width="6.109375" style="105" customWidth="1"/>
    <col min="2" max="2" width="10.33203125" style="105" customWidth="1"/>
    <col min="3" max="3" width="9.109375" style="105" customWidth="1"/>
    <col min="4" max="4" width="11" style="105" customWidth="1"/>
    <col min="5" max="5" width="8.109375" style="105" customWidth="1"/>
    <col min="6" max="6" width="6.21875" style="105" customWidth="1"/>
    <col min="7" max="10" width="8.6640625" style="105" customWidth="1"/>
    <col min="11" max="11" width="10.33203125" style="105" customWidth="1"/>
    <col min="12" max="12" width="3.109375" style="105" customWidth="1"/>
    <col min="13" max="13" width="7.33203125" style="105" customWidth="1"/>
    <col min="14" max="14" width="7.6640625" style="105" customWidth="1"/>
    <col min="15" max="16" width="8.77734375" style="105" customWidth="1"/>
    <col min="17" max="17" width="11.21875" style="105" customWidth="1"/>
    <col min="18" max="18" width="9.21875" style="105" customWidth="1"/>
    <col min="19" max="20" width="7.6640625" style="105" customWidth="1"/>
    <col min="21" max="21" width="2.6640625" style="105" customWidth="1"/>
    <col min="22" max="22" width="9" style="105"/>
    <col min="23" max="23" width="11" style="105" customWidth="1"/>
    <col min="24" max="16384" width="9" style="105"/>
  </cols>
  <sheetData>
    <row r="1" spans="1:60" ht="15" customHeight="1">
      <c r="A1" s="271" t="s">
        <v>102</v>
      </c>
      <c r="B1" s="23"/>
      <c r="C1" s="23"/>
      <c r="D1" s="23"/>
      <c r="E1" s="23"/>
      <c r="F1" s="23"/>
      <c r="G1" s="210" t="str">
        <f>Introduction!D10</f>
        <v>埃及</v>
      </c>
      <c r="H1" s="210" t="s">
        <v>79</v>
      </c>
      <c r="J1" s="270" t="s">
        <v>103</v>
      </c>
      <c r="K1" s="231">
        <f>Introduction!D13</f>
        <v>32462</v>
      </c>
      <c r="L1" s="52"/>
      <c r="M1" s="22" t="s">
        <v>142</v>
      </c>
      <c r="N1" s="23"/>
      <c r="O1" s="23"/>
      <c r="P1" s="23"/>
      <c r="Q1" s="23"/>
      <c r="R1" s="23"/>
      <c r="S1" s="270" t="s">
        <v>103</v>
      </c>
      <c r="T1" s="73">
        <f>Date_of_survey</f>
        <v>1988.8715846994535</v>
      </c>
      <c r="V1" s="55" t="s">
        <v>137</v>
      </c>
      <c r="W1" s="23"/>
      <c r="X1" s="23"/>
      <c r="Z1" s="113"/>
      <c r="AA1" s="18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row>
    <row r="2" spans="1:60" ht="15.75" customHeight="1">
      <c r="A2" s="272"/>
      <c r="B2" s="273"/>
      <c r="C2" s="273"/>
      <c r="D2" s="273"/>
      <c r="E2" s="273"/>
      <c r="F2" s="209"/>
      <c r="G2" s="199"/>
      <c r="H2" s="199"/>
      <c r="I2" s="199"/>
      <c r="J2" s="294" t="s">
        <v>113</v>
      </c>
      <c r="K2" s="200"/>
      <c r="L2" s="54"/>
      <c r="M2" s="280" t="s">
        <v>93</v>
      </c>
      <c r="N2" s="280" t="s">
        <v>129</v>
      </c>
      <c r="O2" s="280" t="s">
        <v>130</v>
      </c>
      <c r="P2" s="280" t="s">
        <v>107</v>
      </c>
      <c r="Q2" s="280" t="s">
        <v>131</v>
      </c>
      <c r="R2" s="280" t="s">
        <v>132</v>
      </c>
      <c r="S2" s="280" t="s">
        <v>133</v>
      </c>
      <c r="T2" s="27"/>
      <c r="V2" s="27"/>
      <c r="W2" s="27"/>
      <c r="X2" s="27"/>
      <c r="Y2" s="27"/>
      <c r="Z2" s="27"/>
      <c r="AA2" s="18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row>
    <row r="3" spans="1:60" ht="15.75" customHeight="1">
      <c r="A3" s="274" t="s">
        <v>93</v>
      </c>
      <c r="B3" s="274" t="s">
        <v>104</v>
      </c>
      <c r="C3" s="274" t="s">
        <v>139</v>
      </c>
      <c r="D3" s="274" t="s">
        <v>139</v>
      </c>
      <c r="E3" s="299" t="s">
        <v>163</v>
      </c>
      <c r="F3" s="214" t="s">
        <v>93</v>
      </c>
      <c r="G3" s="197" t="s">
        <v>29</v>
      </c>
      <c r="H3" s="28" t="s">
        <v>107</v>
      </c>
      <c r="I3" s="28" t="s">
        <v>108</v>
      </c>
      <c r="J3" s="305"/>
      <c r="K3" s="198"/>
      <c r="L3" s="54"/>
      <c r="M3" s="274" t="s">
        <v>109</v>
      </c>
      <c r="N3" s="274" t="s">
        <v>93</v>
      </c>
      <c r="O3" s="274" t="s">
        <v>118</v>
      </c>
      <c r="P3" s="274" t="s">
        <v>136</v>
      </c>
      <c r="Q3" s="274" t="s">
        <v>153</v>
      </c>
      <c r="R3" s="274" t="s">
        <v>134</v>
      </c>
      <c r="S3" s="274" t="s">
        <v>135</v>
      </c>
      <c r="T3" s="60" t="s">
        <v>114</v>
      </c>
      <c r="V3" s="192"/>
      <c r="W3" s="192"/>
      <c r="X3" s="192"/>
      <c r="Y3" s="192"/>
      <c r="Z3" s="192"/>
      <c r="AA3" s="18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row>
    <row r="4" spans="1:60" ht="15.75" customHeight="1">
      <c r="A4" s="276" t="s">
        <v>109</v>
      </c>
      <c r="B4" s="276" t="s">
        <v>110</v>
      </c>
      <c r="C4" s="276" t="s">
        <v>111</v>
      </c>
      <c r="D4" s="276" t="s">
        <v>112</v>
      </c>
      <c r="E4" s="300"/>
      <c r="F4" s="215" t="s">
        <v>7</v>
      </c>
      <c r="G4" s="59" t="s">
        <v>30</v>
      </c>
      <c r="H4" s="31" t="s">
        <v>31</v>
      </c>
      <c r="I4" s="106" t="s">
        <v>26</v>
      </c>
      <c r="J4" s="59" t="str">
        <f>Introduction!D$12</f>
        <v>30q30</v>
      </c>
      <c r="K4" s="60" t="s">
        <v>114</v>
      </c>
      <c r="L4" s="61"/>
      <c r="M4" s="107"/>
      <c r="N4" s="30" t="s">
        <v>13</v>
      </c>
      <c r="O4" s="31" t="s">
        <v>14</v>
      </c>
      <c r="P4" s="30" t="s">
        <v>15</v>
      </c>
      <c r="Q4" s="31" t="s">
        <v>16</v>
      </c>
      <c r="R4" s="31" t="s">
        <v>32</v>
      </c>
      <c r="S4" s="30" t="s">
        <v>18</v>
      </c>
      <c r="T4" s="107"/>
      <c r="V4" s="30" t="s">
        <v>7</v>
      </c>
      <c r="W4" s="31" t="s">
        <v>19</v>
      </c>
      <c r="X4" s="31" t="s">
        <v>20</v>
      </c>
      <c r="Y4" s="31" t="s">
        <v>21</v>
      </c>
      <c r="Z4" s="31" t="s">
        <v>22</v>
      </c>
      <c r="AA4" s="18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row>
    <row r="5" spans="1:60" ht="15" customHeight="1">
      <c r="A5" s="28"/>
      <c r="B5" s="28"/>
      <c r="C5" s="28"/>
      <c r="D5" s="28"/>
      <c r="E5" s="28"/>
      <c r="F5" s="28"/>
      <c r="G5" s="66"/>
      <c r="H5" s="34"/>
      <c r="I5" s="122"/>
      <c r="J5" s="66"/>
      <c r="K5" s="67"/>
      <c r="L5" s="61"/>
      <c r="M5" s="123"/>
      <c r="N5" s="62"/>
      <c r="O5" s="28"/>
      <c r="P5" s="62"/>
      <c r="Q5" s="28"/>
      <c r="R5" s="28"/>
      <c r="S5" s="62"/>
      <c r="T5" s="123"/>
      <c r="V5" s="62"/>
      <c r="W5" s="28"/>
      <c r="X5" s="28"/>
      <c r="Y5" s="28"/>
      <c r="Z5" s="28"/>
      <c r="AA5" s="18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row>
    <row r="6" spans="1:60" ht="15" customHeight="1">
      <c r="A6" s="32" t="s">
        <v>33</v>
      </c>
      <c r="B6" s="235"/>
      <c r="C6" s="235"/>
      <c r="D6" s="236"/>
      <c r="E6" s="201">
        <f ca="1">$C$42</f>
        <v>34.802718569007453</v>
      </c>
      <c r="F6" s="213">
        <v>10</v>
      </c>
      <c r="G6" s="34">
        <f t="shared" ref="G6:G12" ca="1" si="0">W6+X6*E6+Y6*D6+Z6*D7</f>
        <v>-0.54387891257239696</v>
      </c>
      <c r="H6" s="34">
        <f>'Model data'!D31</f>
        <v>0.75558816659335271</v>
      </c>
      <c r="I6" s="254" t="e">
        <f ca="1">-0.5*LN(1+(G6/H6-1/'Model data'!$D$28)/(1-G6))</f>
        <v>#NUM!</v>
      </c>
      <c r="J6" s="248" t="e">
        <f ca="1">1-(1+EXP(2*(I6+IF(Introduction!D$12="45q15",'Model data'!$C$24,'Model data'!$C$27))))/(1+EXP(2*(I6+'Model data'!$C$33)))</f>
        <v>#NUM!</v>
      </c>
      <c r="K6" s="255" t="e">
        <f ca="1">T6</f>
        <v>#NUM!</v>
      </c>
      <c r="L6" s="70"/>
      <c r="M6" s="32" t="s">
        <v>33</v>
      </c>
      <c r="N6" s="33">
        <v>10</v>
      </c>
      <c r="O6" s="34">
        <f t="shared" ref="O6:O12" si="1">SQRT(D6*D7)</f>
        <v>0</v>
      </c>
      <c r="P6" s="34">
        <f t="shared" ref="P6:P12" ca="1" si="2">(1-(E6+N6)/80)/(1-(E6-0.75)/80)</f>
        <v>0.76603621225892882</v>
      </c>
      <c r="Q6" s="34" t="e">
        <f t="shared" ref="Q6:Q12" ca="1" si="3">LN(O6/P6)/3</f>
        <v>#NUM!</v>
      </c>
      <c r="R6" s="86">
        <f>(N6+0.75)/2</f>
        <v>5.375</v>
      </c>
      <c r="S6" s="35" t="e">
        <f ca="1">R6*(1-Q6)</f>
        <v>#NUM!</v>
      </c>
      <c r="T6" s="36" t="e">
        <f ca="1">$T$1-S6</f>
        <v>#NUM!</v>
      </c>
      <c r="V6" s="166">
        <f>10</f>
        <v>10</v>
      </c>
      <c r="W6" s="167">
        <v>-0.55779999999999996</v>
      </c>
      <c r="X6" s="205">
        <v>4.0000000000000002E-4</v>
      </c>
      <c r="Y6" s="167">
        <v>1.47078</v>
      </c>
      <c r="Z6" s="167">
        <v>6.9779999999999995E-2</v>
      </c>
      <c r="AA6" s="183"/>
      <c r="AB6" s="23"/>
      <c r="AC6" s="22"/>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row>
    <row r="7" spans="1:60" ht="15" customHeight="1">
      <c r="A7" s="32" t="s">
        <v>12</v>
      </c>
      <c r="B7" s="249"/>
      <c r="C7" s="249"/>
      <c r="D7" s="236"/>
      <c r="E7" s="201">
        <f t="shared" ref="E7:E13" ca="1" si="4">$C$42</f>
        <v>34.802718569007453</v>
      </c>
      <c r="F7" s="213">
        <v>15</v>
      </c>
      <c r="G7" s="34">
        <f t="shared" ca="1" si="0"/>
        <v>-0.48724538104251702</v>
      </c>
      <c r="H7" s="34">
        <f>'Model data'!D31</f>
        <v>0.75558816659335271</v>
      </c>
      <c r="I7" s="254" t="e">
        <f ca="1">-0.5*LN(1+(G7/H7-1/'Model data'!$D$28)/(1-G7))</f>
        <v>#NUM!</v>
      </c>
      <c r="J7" s="248" t="e">
        <f ca="1">1-(1+EXP(2*(I7+IF(Introduction!D$12="45q15",'Model data'!$C$24,'Model data'!$C$27))))/(1+EXP(2*(I7+'Model data'!$C$33)))</f>
        <v>#NUM!</v>
      </c>
      <c r="K7" s="255" t="e">
        <f ca="1">T7</f>
        <v>#NUM!</v>
      </c>
      <c r="L7" s="70"/>
      <c r="M7" s="32" t="s">
        <v>12</v>
      </c>
      <c r="N7" s="33">
        <f>N6+5</f>
        <v>15</v>
      </c>
      <c r="O7" s="34">
        <f t="shared" si="1"/>
        <v>0</v>
      </c>
      <c r="P7" s="34">
        <f t="shared" ca="1" si="2"/>
        <v>0.65721584586773296</v>
      </c>
      <c r="Q7" s="34" t="e">
        <f t="shared" ca="1" si="3"/>
        <v>#NUM!</v>
      </c>
      <c r="R7" s="86">
        <f t="shared" ref="R7:R12" si="5">(N7+0.75)/2</f>
        <v>7.875</v>
      </c>
      <c r="S7" s="35" t="e">
        <f t="shared" ref="S7:S12" ca="1" si="6">R7*(1-Q7)</f>
        <v>#NUM!</v>
      </c>
      <c r="T7" s="36" t="e">
        <f t="shared" ref="T7:T12" ca="1" si="7">$T$1-S7</f>
        <v>#NUM!</v>
      </c>
      <c r="V7" s="32">
        <f>V6+5</f>
        <v>15</v>
      </c>
      <c r="W7" s="114">
        <v>-0.40129999999999999</v>
      </c>
      <c r="X7" s="206">
        <v>5.7600000000000004E-3</v>
      </c>
      <c r="Y7" s="114">
        <v>1.5602</v>
      </c>
      <c r="Z7" s="114">
        <v>-0.35220000000000001</v>
      </c>
      <c r="AA7" s="183"/>
      <c r="AB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row>
    <row r="8" spans="1:60" ht="15" customHeight="1">
      <c r="A8" s="32" t="s">
        <v>0</v>
      </c>
      <c r="B8" s="235"/>
      <c r="C8" s="235"/>
      <c r="D8" s="236">
        <v>0.81320000000000003</v>
      </c>
      <c r="E8" s="201">
        <f t="shared" ca="1" si="4"/>
        <v>34.802718569007453</v>
      </c>
      <c r="F8" s="213">
        <v>20</v>
      </c>
      <c r="G8" s="34">
        <f t="shared" ca="1" si="0"/>
        <v>0.81608514844646685</v>
      </c>
      <c r="H8" s="34">
        <f>'Model data'!D32</f>
        <v>0.71027415735971011</v>
      </c>
      <c r="I8" s="254">
        <f ca="1">-0.5*LN(1+(G8/H8-1/'Model data'!$D$28)/(1-G8))</f>
        <v>0.16155892171653613</v>
      </c>
      <c r="J8" s="248">
        <f ca="1">1-(1+EXP(2*(I8+IF(Introduction!D$12="45q15",'Model data'!$C$24,'Model data'!$C$27))))/(1+EXP(2*(I8+'Model data'!$C$33)))</f>
        <v>0.28815823349188741</v>
      </c>
      <c r="K8" s="255">
        <f ca="1">T8</f>
        <v>1979.6677228626238</v>
      </c>
      <c r="L8" s="70"/>
      <c r="M8" s="32" t="s">
        <v>0</v>
      </c>
      <c r="N8" s="33">
        <f t="shared" ref="N8:N12" si="8">N7+5</f>
        <v>20</v>
      </c>
      <c r="O8" s="34">
        <f t="shared" si="1"/>
        <v>0.76942160094450174</v>
      </c>
      <c r="P8" s="34">
        <f t="shared" ca="1" si="2"/>
        <v>0.54839547947653711</v>
      </c>
      <c r="Q8" s="34">
        <f t="shared" ca="1" si="3"/>
        <v>0.11288078681159656</v>
      </c>
      <c r="R8" s="86">
        <f t="shared" si="5"/>
        <v>10.375</v>
      </c>
      <c r="S8" s="35">
        <f t="shared" ca="1" si="6"/>
        <v>9.2038618368296863</v>
      </c>
      <c r="T8" s="36">
        <f ca="1">$T$1-S8</f>
        <v>1979.6677228626238</v>
      </c>
      <c r="V8" s="32">
        <f t="shared" ref="V8:V13" si="9">V7+5</f>
        <v>20</v>
      </c>
      <c r="W8" s="114">
        <v>-0.33289999999999997</v>
      </c>
      <c r="X8" s="206">
        <v>1.031E-2</v>
      </c>
      <c r="Y8" s="114">
        <v>0.66559999999999997</v>
      </c>
      <c r="Z8" s="114">
        <v>0.34189999999999998</v>
      </c>
      <c r="AA8" s="18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row>
    <row r="9" spans="1:60" ht="15" customHeight="1">
      <c r="A9" s="32" t="s">
        <v>1</v>
      </c>
      <c r="B9" s="249"/>
      <c r="C9" s="249"/>
      <c r="D9" s="236">
        <v>0.72799999999999998</v>
      </c>
      <c r="E9" s="201">
        <f t="shared" ca="1" si="4"/>
        <v>34.802718569007453</v>
      </c>
      <c r="F9" s="213">
        <v>25</v>
      </c>
      <c r="G9" s="34">
        <f t="shared" ca="1" si="0"/>
        <v>0.71858430249082617</v>
      </c>
      <c r="H9" s="34">
        <f>'Model data'!D33</f>
        <v>0.64857401363075629</v>
      </c>
      <c r="I9" s="254">
        <f ca="1">-0.5*LN(1+(G9/H9-1/'Model data'!$D$28)/(1-G9))</f>
        <v>0.19743810605586182</v>
      </c>
      <c r="J9" s="248">
        <f ca="1">1-(1+EXP(2*(I9+IF(Introduction!D$12="45q15",'Model data'!$C$24,'Model data'!$C$27))))/(1+EXP(2*(I9+'Model data'!$C$33)))</f>
        <v>0.30004032688573634</v>
      </c>
      <c r="K9" s="255">
        <f ca="1">T9</f>
        <v>1977.8247175714539</v>
      </c>
      <c r="L9" s="70"/>
      <c r="M9" s="32" t="s">
        <v>1</v>
      </c>
      <c r="N9" s="33">
        <f t="shared" si="8"/>
        <v>25</v>
      </c>
      <c r="O9" s="34">
        <f t="shared" si="1"/>
        <v>0.67302421947504976</v>
      </c>
      <c r="P9" s="34">
        <f t="shared" ca="1" si="2"/>
        <v>0.4395751130853412</v>
      </c>
      <c r="Q9" s="34">
        <f t="shared" ca="1" si="3"/>
        <v>0.14199090267963743</v>
      </c>
      <c r="R9" s="86">
        <f t="shared" si="5"/>
        <v>12.875</v>
      </c>
      <c r="S9" s="35">
        <f t="shared" ca="1" si="6"/>
        <v>11.046867127999668</v>
      </c>
      <c r="T9" s="36">
        <f t="shared" ca="1" si="7"/>
        <v>1977.8247175714539</v>
      </c>
      <c r="V9" s="32">
        <f t="shared" si="9"/>
        <v>25</v>
      </c>
      <c r="W9" s="114">
        <v>-0.47260000000000002</v>
      </c>
      <c r="X9" s="206">
        <v>1.559E-2</v>
      </c>
      <c r="Y9" s="114">
        <v>0.21609999999999999</v>
      </c>
      <c r="Z9" s="114">
        <v>0.78959999999999997</v>
      </c>
      <c r="AB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row>
    <row r="10" spans="1:60" ht="15" customHeight="1">
      <c r="A10" s="32" t="s">
        <v>2</v>
      </c>
      <c r="B10" s="235"/>
      <c r="C10" s="235"/>
      <c r="D10" s="236">
        <v>0.62219999999999998</v>
      </c>
      <c r="E10" s="201">
        <f t="shared" ca="1" si="4"/>
        <v>34.802718569007453</v>
      </c>
      <c r="F10" s="213">
        <v>30</v>
      </c>
      <c r="G10" s="34">
        <f t="shared" ca="1" si="0"/>
        <v>0.61966125749259482</v>
      </c>
      <c r="H10" s="34">
        <f>'Model data'!D34</f>
        <v>0.56571082144915019</v>
      </c>
      <c r="I10" s="254">
        <f ca="1">-0.5*LN(1+(G10/H10-1/'Model data'!$D$28)/(1-G10))</f>
        <v>0.16041546205239535</v>
      </c>
      <c r="J10" s="248">
        <f ca="1">1-(1+EXP(2*(I10+IF(Introduction!D$12="45q15",'Model data'!$C$24,'Model data'!$C$27))))/(1+EXP(2*(I10+'Model data'!$C$33)))</f>
        <v>0.28778140823606635</v>
      </c>
      <c r="K10" s="255">
        <f ca="1">IF(T10&lt;T9,T10,NA())</f>
        <v>1976.3133479935584</v>
      </c>
      <c r="L10" s="70"/>
      <c r="M10" s="32" t="s">
        <v>2</v>
      </c>
      <c r="N10" s="33">
        <f t="shared" si="8"/>
        <v>30</v>
      </c>
      <c r="O10" s="34">
        <f t="shared" si="1"/>
        <v>0.57305947335333351</v>
      </c>
      <c r="P10" s="34">
        <f t="shared" ca="1" si="2"/>
        <v>0.33075474669414534</v>
      </c>
      <c r="Q10" s="34">
        <f t="shared" ca="1" si="3"/>
        <v>0.18320411668974798</v>
      </c>
      <c r="R10" s="86">
        <f t="shared" si="5"/>
        <v>15.375</v>
      </c>
      <c r="S10" s="35">
        <f t="shared" ca="1" si="6"/>
        <v>12.558236705895125</v>
      </c>
      <c r="T10" s="36">
        <f t="shared" ca="1" si="7"/>
        <v>1976.3133479935584</v>
      </c>
      <c r="V10" s="32">
        <f t="shared" si="9"/>
        <v>30</v>
      </c>
      <c r="W10" s="114">
        <v>-0.7056</v>
      </c>
      <c r="X10" s="206">
        <v>2.0760000000000001E-2</v>
      </c>
      <c r="Y10" s="114">
        <v>0.19969999999999999</v>
      </c>
      <c r="Z10" s="114">
        <v>0.90659999999999996</v>
      </c>
      <c r="AB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row>
    <row r="11" spans="1:60" ht="15" customHeight="1">
      <c r="A11" s="32" t="s">
        <v>3</v>
      </c>
      <c r="B11" s="249"/>
      <c r="C11" s="249"/>
      <c r="D11" s="236">
        <v>0.52780000000000005</v>
      </c>
      <c r="E11" s="201">
        <f ca="1">$C$42</f>
        <v>34.802718569007453</v>
      </c>
      <c r="F11" s="213">
        <v>35</v>
      </c>
      <c r="G11" s="34">
        <f t="shared" ca="1" si="0"/>
        <v>0.4668709039253558</v>
      </c>
      <c r="H11" s="34">
        <f>'Model data'!D35</f>
        <v>0.45955087928190458</v>
      </c>
      <c r="I11" s="254">
        <f ca="1">-0.5*LN(1+(G11/H11-1/'Model data'!$D$28)/(1-G11))</f>
        <v>0.21140948805341866</v>
      </c>
      <c r="J11" s="248">
        <f ca="1">1-(1+EXP(2*(I11+IF(Introduction!D$12="45q15",'Model data'!$C$24,'Model data'!$C$27))))/(1+EXP(2*(I11+'Model data'!$C$33)))</f>
        <v>0.30469397704282997</v>
      </c>
      <c r="K11" s="255">
        <f ca="1">IF(T11&lt;T10,T11,NA())</f>
        <v>1975.2039127287044</v>
      </c>
      <c r="L11" s="70"/>
      <c r="M11" s="32" t="s">
        <v>3</v>
      </c>
      <c r="N11" s="33">
        <f t="shared" si="8"/>
        <v>35</v>
      </c>
      <c r="O11" s="34">
        <f t="shared" si="1"/>
        <v>0.44966674326661071</v>
      </c>
      <c r="P11" s="34">
        <f t="shared" ca="1" si="2"/>
        <v>0.22193438030294946</v>
      </c>
      <c r="Q11" s="34">
        <f t="shared" ca="1" si="3"/>
        <v>0.23537499464340286</v>
      </c>
      <c r="R11" s="86">
        <f>(N11+0.75)/2</f>
        <v>17.875</v>
      </c>
      <c r="S11" s="35">
        <f t="shared" ca="1" si="6"/>
        <v>13.667671970749174</v>
      </c>
      <c r="T11" s="36">
        <f t="shared" ca="1" si="7"/>
        <v>1975.2039127287044</v>
      </c>
      <c r="V11" s="32">
        <f t="shared" si="9"/>
        <v>35</v>
      </c>
      <c r="W11" s="114">
        <v>-0.9153</v>
      </c>
      <c r="X11" s="206">
        <v>2.4930000000000001E-2</v>
      </c>
      <c r="Y11" s="114">
        <v>0.34839999999999999</v>
      </c>
      <c r="Z11" s="114">
        <v>0.86309999999999998</v>
      </c>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row>
    <row r="12" spans="1:60" ht="15" customHeight="1">
      <c r="A12" s="84" t="s">
        <v>4</v>
      </c>
      <c r="B12" s="235"/>
      <c r="C12" s="235"/>
      <c r="D12" s="236">
        <v>0.3831</v>
      </c>
      <c r="E12" s="201">
        <f t="shared" ca="1" si="4"/>
        <v>34.802718569007453</v>
      </c>
      <c r="F12" s="213">
        <v>40</v>
      </c>
      <c r="G12" s="34">
        <f t="shared" ca="1" si="0"/>
        <v>0.3006002842933464</v>
      </c>
      <c r="H12" s="34">
        <f>'Model data'!D36</f>
        <v>0.33555954367971813</v>
      </c>
      <c r="I12" s="254">
        <f ca="1">-0.5*LN(1+(G12/H12-1/'Model data'!$D$28)/(1-G12))</f>
        <v>0.28508045483493771</v>
      </c>
      <c r="J12" s="248">
        <f ca="1">1-(1+EXP(2*(I12+IF(Introduction!D$12="45q15",'Model data'!$C$24,'Model data'!$C$27))))/(1+EXP(2*(I12+'Model data'!$C$33)))</f>
        <v>0.3293943376560261</v>
      </c>
      <c r="K12" s="255" t="e">
        <f ca="1">IF(T12&lt;T11,T12,NA())</f>
        <v>#N/A</v>
      </c>
      <c r="L12" s="70"/>
      <c r="M12" s="84" t="s">
        <v>4</v>
      </c>
      <c r="N12" s="85">
        <f t="shared" si="8"/>
        <v>40</v>
      </c>
      <c r="O12" s="74">
        <f t="shared" si="1"/>
        <v>0.31572554537129238</v>
      </c>
      <c r="P12" s="74">
        <f t="shared" ca="1" si="2"/>
        <v>0.11311401391175359</v>
      </c>
      <c r="Q12" s="74">
        <f t="shared" ca="1" si="3"/>
        <v>0.34215900872685823</v>
      </c>
      <c r="R12" s="86">
        <f t="shared" si="5"/>
        <v>20.375</v>
      </c>
      <c r="S12" s="86">
        <f t="shared" ca="1" si="6"/>
        <v>13.403510197190263</v>
      </c>
      <c r="T12" s="71">
        <f t="shared" ca="1" si="7"/>
        <v>1975.4680745022631</v>
      </c>
      <c r="V12" s="84">
        <f t="shared" si="9"/>
        <v>40</v>
      </c>
      <c r="W12" s="120">
        <v>-0.995</v>
      </c>
      <c r="X12" s="207">
        <v>2.6349999999999998E-2</v>
      </c>
      <c r="Y12" s="120">
        <v>0.4269</v>
      </c>
      <c r="Z12" s="120">
        <v>0.82630000000000003</v>
      </c>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row>
    <row r="13" spans="1:60" ht="15" customHeight="1">
      <c r="A13" s="108" t="s">
        <v>5</v>
      </c>
      <c r="B13" s="250"/>
      <c r="C13" s="250"/>
      <c r="D13" s="238">
        <v>0.26019999999999999</v>
      </c>
      <c r="E13" s="202">
        <f t="shared" ca="1" si="4"/>
        <v>34.802718569007453</v>
      </c>
      <c r="F13" s="202"/>
      <c r="G13" s="39"/>
      <c r="H13" s="39"/>
      <c r="I13" s="39"/>
      <c r="J13" s="39"/>
      <c r="K13" s="39"/>
      <c r="L13" s="70"/>
      <c r="M13" s="107"/>
      <c r="N13" s="116"/>
      <c r="O13" s="117"/>
      <c r="P13" s="107"/>
      <c r="Q13" s="116"/>
      <c r="R13" s="118"/>
      <c r="S13" s="116"/>
      <c r="T13" s="119"/>
      <c r="V13" s="37">
        <f t="shared" si="9"/>
        <v>45</v>
      </c>
      <c r="W13" s="39"/>
      <c r="X13" s="121"/>
      <c r="Y13" s="39"/>
      <c r="Z13" s="99"/>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row>
    <row r="14" spans="1:60" ht="15" customHeight="1">
      <c r="A14" s="110"/>
      <c r="B14" s="111"/>
      <c r="C14" s="112"/>
      <c r="D14" s="89"/>
      <c r="E14" s="89"/>
      <c r="F14" s="89"/>
      <c r="G14" s="89"/>
      <c r="H14" s="89"/>
      <c r="I14" s="89"/>
      <c r="J14" s="89"/>
      <c r="K14" s="89"/>
      <c r="L14" s="70"/>
      <c r="M14" s="48"/>
      <c r="N14" s="48"/>
      <c r="O14" s="49"/>
      <c r="P14" s="48"/>
      <c r="Q14" s="48"/>
      <c r="R14" s="49"/>
      <c r="S14" s="48"/>
      <c r="T14" s="48"/>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row>
    <row r="15" spans="1:60" ht="15" customHeight="1">
      <c r="A15" s="271" t="s">
        <v>102</v>
      </c>
      <c r="D15" s="23"/>
      <c r="E15" s="23"/>
      <c r="F15" s="23"/>
      <c r="G15" s="210" t="s">
        <v>80</v>
      </c>
      <c r="I15" s="89"/>
      <c r="J15" s="89"/>
      <c r="K15" s="109"/>
      <c r="L15" s="23"/>
      <c r="S15" s="270" t="s">
        <v>103</v>
      </c>
      <c r="T15" s="130">
        <f>Date_of_survey</f>
        <v>1988.8715846994535</v>
      </c>
      <c r="U15" s="23"/>
      <c r="V15" s="55" t="s">
        <v>138</v>
      </c>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row>
    <row r="16" spans="1:60" ht="15.75" customHeight="1">
      <c r="A16" s="93"/>
      <c r="B16" s="294" t="s">
        <v>140</v>
      </c>
      <c r="C16" s="279" t="s">
        <v>115</v>
      </c>
      <c r="D16" s="199"/>
      <c r="E16" s="294" t="s">
        <v>117</v>
      </c>
      <c r="F16" s="209"/>
      <c r="G16" s="199"/>
      <c r="H16" s="199"/>
      <c r="I16" s="199"/>
      <c r="J16" s="294" t="s">
        <v>113</v>
      </c>
      <c r="K16" s="200"/>
      <c r="L16" s="1"/>
      <c r="M16" s="280" t="s">
        <v>93</v>
      </c>
      <c r="N16" s="280" t="s">
        <v>129</v>
      </c>
      <c r="O16" s="280" t="s">
        <v>130</v>
      </c>
      <c r="P16" s="280" t="s">
        <v>107</v>
      </c>
      <c r="Q16" s="280" t="s">
        <v>131</v>
      </c>
      <c r="R16" s="280" t="s">
        <v>132</v>
      </c>
      <c r="S16" s="280" t="s">
        <v>133</v>
      </c>
      <c r="T16" s="27"/>
      <c r="U16" s="9"/>
      <c r="V16" s="92"/>
      <c r="W16" s="92"/>
      <c r="X16" s="92"/>
      <c r="Y16" s="92"/>
      <c r="Z16" s="92"/>
      <c r="AA16" s="92"/>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row>
    <row r="17" spans="1:58" ht="15.75" customHeight="1">
      <c r="A17" s="274" t="s">
        <v>93</v>
      </c>
      <c r="B17" s="295"/>
      <c r="C17" s="28" t="s">
        <v>141</v>
      </c>
      <c r="D17" s="28" t="s">
        <v>139</v>
      </c>
      <c r="E17" s="295"/>
      <c r="F17" s="214" t="s">
        <v>93</v>
      </c>
      <c r="G17" s="197" t="s">
        <v>37</v>
      </c>
      <c r="H17" s="28" t="s">
        <v>107</v>
      </c>
      <c r="I17" s="28" t="s">
        <v>108</v>
      </c>
      <c r="J17" s="305"/>
      <c r="K17" s="198"/>
      <c r="L17" s="1"/>
      <c r="M17" s="274" t="s">
        <v>109</v>
      </c>
      <c r="N17" s="274" t="s">
        <v>93</v>
      </c>
      <c r="O17" s="274" t="s">
        <v>118</v>
      </c>
      <c r="P17" s="274" t="s">
        <v>136</v>
      </c>
      <c r="Q17" s="274" t="s">
        <v>153</v>
      </c>
      <c r="R17" s="274" t="s">
        <v>134</v>
      </c>
      <c r="S17" s="274" t="s">
        <v>135</v>
      </c>
      <c r="T17" s="60" t="s">
        <v>114</v>
      </c>
      <c r="U17" s="9"/>
      <c r="V17" s="62" t="s">
        <v>7</v>
      </c>
      <c r="W17" s="28" t="s">
        <v>19</v>
      </c>
      <c r="X17" s="28" t="s">
        <v>20</v>
      </c>
      <c r="Y17" s="28" t="s">
        <v>21</v>
      </c>
      <c r="Z17" s="28" t="s">
        <v>22</v>
      </c>
      <c r="AA17" s="28" t="s">
        <v>23</v>
      </c>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row>
    <row r="18" spans="1:58" ht="15.75" customHeight="1">
      <c r="A18" s="276" t="s">
        <v>109</v>
      </c>
      <c r="B18" s="296"/>
      <c r="C18" s="31" t="s">
        <v>120</v>
      </c>
      <c r="D18" s="31" t="s">
        <v>112</v>
      </c>
      <c r="E18" s="296"/>
      <c r="F18" s="223" t="s">
        <v>7</v>
      </c>
      <c r="G18" s="57" t="s">
        <v>40</v>
      </c>
      <c r="H18" s="31" t="s">
        <v>31</v>
      </c>
      <c r="I18" s="58" t="s">
        <v>26</v>
      </c>
      <c r="J18" s="59" t="str">
        <f>Introduction!D12</f>
        <v>30q30</v>
      </c>
      <c r="K18" s="60" t="s">
        <v>114</v>
      </c>
      <c r="L18" s="1"/>
      <c r="M18" s="29"/>
      <c r="N18" s="30" t="s">
        <v>13</v>
      </c>
      <c r="O18" s="31" t="s">
        <v>14</v>
      </c>
      <c r="P18" s="30" t="s">
        <v>15</v>
      </c>
      <c r="Q18" s="31" t="s">
        <v>16</v>
      </c>
      <c r="R18" s="31" t="s">
        <v>17</v>
      </c>
      <c r="S18" s="30" t="s">
        <v>18</v>
      </c>
      <c r="T18" s="29"/>
      <c r="U18" s="9"/>
      <c r="V18" s="83"/>
      <c r="W18" s="83"/>
      <c r="X18" s="83"/>
      <c r="Y18" s="83"/>
      <c r="Z18" s="83"/>
      <c r="AA18" s="8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row>
    <row r="19" spans="1:58" ht="15" customHeight="1">
      <c r="A19" s="77"/>
      <c r="B19" s="88"/>
      <c r="C19" s="88"/>
      <c r="D19" s="77"/>
      <c r="E19" s="77"/>
      <c r="F19" s="77"/>
      <c r="G19" s="77"/>
      <c r="H19" s="34"/>
      <c r="I19" s="77"/>
      <c r="J19" s="77"/>
      <c r="K19" s="78"/>
      <c r="L19" s="1"/>
      <c r="M19" s="50"/>
      <c r="N19" s="50"/>
      <c r="O19" s="50"/>
      <c r="P19" s="50"/>
      <c r="Q19" s="50"/>
      <c r="R19" s="50"/>
      <c r="S19" s="50"/>
      <c r="T19" s="50"/>
      <c r="U19" s="9"/>
      <c r="V19" s="92"/>
      <c r="W19" s="77"/>
      <c r="X19" s="77"/>
      <c r="Y19" s="77"/>
      <c r="Z19" s="77"/>
      <c r="AA19" s="77"/>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row>
    <row r="20" spans="1:58" ht="15" customHeight="1">
      <c r="A20" s="127" t="s">
        <v>2</v>
      </c>
      <c r="B20" s="235"/>
      <c r="C20" s="235"/>
      <c r="D20" s="236">
        <v>0.82110000000000005</v>
      </c>
      <c r="E20" s="124">
        <f>AVERAGE(E32:E33)</f>
        <v>19.7</v>
      </c>
      <c r="F20" s="221">
        <v>30</v>
      </c>
      <c r="G20" s="34">
        <f ca="1">IF(D21&gt;0,W20+X20*E10+Y20*E20+Z20*D20+AA20*D21,NA())</f>
        <v>0.78803527087583825</v>
      </c>
      <c r="H20" s="34">
        <f>'Model data'!D34</f>
        <v>0.56571082144915019</v>
      </c>
      <c r="I20" s="245">
        <f ca="1">-0.5*LN(1+(G20/H20-1/'Model data'!$D$32)/(1-G20))</f>
        <v>3.646129740732592E-2</v>
      </c>
      <c r="J20" s="248">
        <f ca="1">1-(1+EXP(2*(I20+IF(Introduction!D$12="45q15",'Model data'!$C$24,'Model data'!$C$27))))/(1+EXP(2*(I20+'Model data'!$C$33)))</f>
        <v>0.24786075137607311</v>
      </c>
      <c r="K20" s="242">
        <f ca="1">T20</f>
        <v>1984.1369994115678</v>
      </c>
      <c r="L20" s="129"/>
      <c r="M20" s="32" t="s">
        <v>2</v>
      </c>
      <c r="N20" s="36">
        <f>N10-E20</f>
        <v>10.3</v>
      </c>
      <c r="O20" s="34">
        <f>SQRT(D20*D21)</f>
        <v>0.75921815046796659</v>
      </c>
      <c r="P20" s="34">
        <f ca="1">(1-(N10+E10)/80)/(1-(E10+E20)/80)</f>
        <v>0.59603536448085392</v>
      </c>
      <c r="Q20" s="34">
        <f ca="1">LN(O20/P20)/3</f>
        <v>8.0663050895996263E-2</v>
      </c>
      <c r="R20" s="33">
        <f>N20/2</f>
        <v>5.15</v>
      </c>
      <c r="S20" s="35">
        <f ca="1">R20*(1-Q20)</f>
        <v>4.7345852878856194</v>
      </c>
      <c r="T20" s="36">
        <f ca="1">$T$15-S20</f>
        <v>1984.1369994115678</v>
      </c>
      <c r="U20" s="130"/>
      <c r="V20" s="32">
        <v>30</v>
      </c>
      <c r="W20" s="131">
        <v>6.7599999999999993E-2</v>
      </c>
      <c r="X20" s="132">
        <v>1.5879999999999998E-2</v>
      </c>
      <c r="Y20" s="132">
        <v>-6.3299999999999997E-3</v>
      </c>
      <c r="Z20" s="131">
        <v>-1.2070000000000001</v>
      </c>
      <c r="AA20" s="131">
        <v>1.8284</v>
      </c>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row>
    <row r="21" spans="1:58" ht="15" customHeight="1">
      <c r="A21" s="127" t="s">
        <v>3</v>
      </c>
      <c r="B21" s="249"/>
      <c r="C21" s="249"/>
      <c r="D21" s="236">
        <v>0.70199999999999996</v>
      </c>
      <c r="E21" s="124">
        <f t="shared" ref="E21:E23" si="10">AVERAGE(E33:E34)</f>
        <v>18.95</v>
      </c>
      <c r="F21" s="221">
        <v>35</v>
      </c>
      <c r="G21" s="34">
        <f ca="1">IF(D22&gt;0,W21+X21*E11+Y21*E21+Z21*D21+AA21*D22,NA())</f>
        <v>0.57462791307353933</v>
      </c>
      <c r="H21" s="34">
        <f>'Model data'!D35</f>
        <v>0.45955087928190458</v>
      </c>
      <c r="I21" s="245">
        <f ca="1">-0.5*LN(1+(G21/H21-1/'Model data'!$D$32)/(1-G21))</f>
        <v>0.2312182155136055</v>
      </c>
      <c r="J21" s="248">
        <f ca="1">1-(1+EXP(2*(I21+IF(Introduction!D$12="45q15",'Model data'!$C$24,'Model data'!$C$27))))/(1+EXP(2*(I21+'Model data'!$C$33)))</f>
        <v>0.31131266424681348</v>
      </c>
      <c r="K21" s="242">
        <f t="shared" ref="K21:K22" ca="1" si="11">T21</f>
        <v>1982.008606279694</v>
      </c>
      <c r="L21" s="129"/>
      <c r="M21" s="32" t="s">
        <v>3</v>
      </c>
      <c r="N21" s="36">
        <f>N11-E21</f>
        <v>16.05</v>
      </c>
      <c r="O21" s="34">
        <f t="shared" ref="O21:O22" si="12">SQRT(D21*D22)</f>
        <v>0.59987098612951761</v>
      </c>
      <c r="P21" s="34">
        <f ca="1">(1-(N11+E11)/80)/(1-(E11+E21)/80)</f>
        <v>0.38850809969796318</v>
      </c>
      <c r="Q21" s="34">
        <f t="shared" ref="Q21:Q22" ca="1" si="13">LN(O21/P21)/3</f>
        <v>0.14480019691470428</v>
      </c>
      <c r="R21" s="33">
        <f t="shared" ref="R21:R22" si="14">N21/2</f>
        <v>8.0250000000000004</v>
      </c>
      <c r="S21" s="35">
        <f t="shared" ref="S21:S22" ca="1" si="15">R21*(1-Q21)</f>
        <v>6.8629784197594983</v>
      </c>
      <c r="T21" s="36">
        <f ca="1">$T$15-S21</f>
        <v>1982.008606279694</v>
      </c>
      <c r="U21" s="130"/>
      <c r="V21" s="32">
        <v>35</v>
      </c>
      <c r="W21" s="131">
        <v>-0.54590000000000005</v>
      </c>
      <c r="X21" s="132">
        <v>2.273E-2</v>
      </c>
      <c r="Y21" s="132">
        <v>-1.0829999999999999E-2</v>
      </c>
      <c r="Z21" s="131">
        <v>-0.25090000000000001</v>
      </c>
      <c r="AA21" s="131">
        <v>1.3867</v>
      </c>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row>
    <row r="22" spans="1:58" ht="15" customHeight="1">
      <c r="A22" s="127" t="s">
        <v>4</v>
      </c>
      <c r="B22" s="235"/>
      <c r="C22" s="235"/>
      <c r="D22" s="236">
        <v>0.51259999999999994</v>
      </c>
      <c r="E22" s="124">
        <f t="shared" si="10"/>
        <v>18.25</v>
      </c>
      <c r="F22" s="221">
        <v>40</v>
      </c>
      <c r="G22" s="34">
        <f t="shared" ref="G22" ca="1" si="16">IF(D23&gt;0,W22+X22*E12+Y22*E22+Z22*D22+AA22*D23,NA())</f>
        <v>0.41249424087937547</v>
      </c>
      <c r="H22" s="34">
        <f>'Model data'!D36</f>
        <v>0.33555954367971813</v>
      </c>
      <c r="I22" s="245">
        <f ca="1">-0.5*LN(1+(G22/H22-1/'Model data'!$D$32)/(1-G22))</f>
        <v>0.18124248466568021</v>
      </c>
      <c r="J22" s="248">
        <f ca="1">1-(1+EXP(2*(I22+IF(Introduction!D$12="45q15",'Model data'!$C$24,'Model data'!$C$27))))/(1+EXP(2*(I22+'Model data'!$C$33)))</f>
        <v>0.29466356541910543</v>
      </c>
      <c r="K22" s="242">
        <f t="shared" ca="1" si="11"/>
        <v>1980.9333702161664</v>
      </c>
      <c r="L22" s="129"/>
      <c r="M22" s="32" t="s">
        <v>4</v>
      </c>
      <c r="N22" s="36">
        <f>N12-E22</f>
        <v>21.75</v>
      </c>
      <c r="O22" s="34">
        <f t="shared" si="12"/>
        <v>0.43361466764859324</v>
      </c>
      <c r="P22" s="34">
        <f ca="1">(1-(N12+E12)/80)/(1-(E12+E22)/80)</f>
        <v>0.19286848821102462</v>
      </c>
      <c r="Q22" s="34">
        <f t="shared" ca="1" si="13"/>
        <v>0.27004924291613158</v>
      </c>
      <c r="R22" s="33">
        <f t="shared" si="14"/>
        <v>10.875</v>
      </c>
      <c r="S22" s="35">
        <f t="shared" ca="1" si="15"/>
        <v>7.9382144832870685</v>
      </c>
      <c r="T22" s="36">
        <f ca="1">$T$15-S22</f>
        <v>1980.9333702161664</v>
      </c>
      <c r="U22" s="130"/>
      <c r="V22" s="32">
        <v>40</v>
      </c>
      <c r="W22" s="131">
        <v>-0.86739999999999995</v>
      </c>
      <c r="X22" s="132">
        <v>2.622E-2</v>
      </c>
      <c r="Y22" s="132">
        <v>-1.1350000000000001E-2</v>
      </c>
      <c r="Z22" s="131">
        <v>0.60570000000000002</v>
      </c>
      <c r="AA22" s="131">
        <v>0.7198</v>
      </c>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row>
    <row r="23" spans="1:58" ht="15" customHeight="1">
      <c r="A23" s="133" t="s">
        <v>5</v>
      </c>
      <c r="B23" s="250"/>
      <c r="C23" s="250"/>
      <c r="D23" s="238">
        <v>0.36680000000000001</v>
      </c>
      <c r="E23" s="191">
        <f t="shared" si="10"/>
        <v>17.75</v>
      </c>
      <c r="F23" s="222"/>
      <c r="G23" s="39"/>
      <c r="H23" s="39"/>
      <c r="I23" s="39"/>
      <c r="J23" s="39"/>
      <c r="K23" s="39"/>
      <c r="L23" s="129"/>
      <c r="M23" s="37"/>
      <c r="N23" s="41"/>
      <c r="O23" s="39"/>
      <c r="P23" s="39"/>
      <c r="Q23" s="39"/>
      <c r="R23" s="38"/>
      <c r="S23" s="40"/>
      <c r="T23" s="41"/>
      <c r="U23" s="130"/>
      <c r="V23" s="37"/>
      <c r="W23" s="134"/>
      <c r="X23" s="121"/>
      <c r="Y23" s="121"/>
      <c r="Z23" s="134"/>
      <c r="AA23" s="134"/>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row>
    <row r="24" spans="1:58" ht="15" customHeight="1">
      <c r="A24" s="129"/>
      <c r="B24" s="129"/>
      <c r="C24" s="129"/>
      <c r="H24" s="125" t="s">
        <v>9</v>
      </c>
      <c r="I24" s="245">
        <f ca="1">AVERAGEA(I20:I22)</f>
        <v>0.14964066586220387</v>
      </c>
      <c r="J24" s="248">
        <f ca="1">1-(1+EXP(2*(I24+IF(Introduction!D$12="45q15",'Model data'!$C$24,'Model data'!$C$27))))/(1+EXP(2*(I24+'Model data'!$C$33)))</f>
        <v>0.28423685168406709</v>
      </c>
      <c r="K24" s="242">
        <f ca="1">AVERAGEA(K20:K22)</f>
        <v>1982.3596586358096</v>
      </c>
      <c r="L24" s="129"/>
      <c r="M24" s="48"/>
      <c r="N24" s="43"/>
      <c r="O24" s="44"/>
      <c r="P24" s="48"/>
      <c r="Q24" s="45"/>
      <c r="R24" s="46"/>
      <c r="S24" s="45"/>
      <c r="T24" s="47"/>
      <c r="U24" s="130"/>
      <c r="V24" s="130"/>
      <c r="W24" s="130"/>
      <c r="X24" s="130"/>
      <c r="Y24" s="130"/>
      <c r="Z24" s="130"/>
      <c r="AA24" s="130"/>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row>
    <row r="25" spans="1:58" ht="15" customHeight="1">
      <c r="A25" s="129"/>
      <c r="B25" s="129"/>
      <c r="C25" s="129"/>
      <c r="H25" s="125" t="s">
        <v>10</v>
      </c>
      <c r="I25" s="245">
        <f ca="1">AVERAGEA(I20:I21)</f>
        <v>0.1338397564604657</v>
      </c>
      <c r="J25" s="248">
        <f ca="1">1-(1+EXP(2*(I25+IF(Introduction!D$12="45q15",'Model data'!$C$24,'Model data'!$C$27))))/(1+EXP(2*(I25+'Model data'!$C$33)))</f>
        <v>0.27906052177902874</v>
      </c>
      <c r="K25" s="242">
        <f ca="1">AVERAGEA(K20:K21)</f>
        <v>1983.072802845631</v>
      </c>
      <c r="L25" s="129"/>
      <c r="M25" s="130"/>
      <c r="N25" s="130"/>
      <c r="O25" s="49"/>
      <c r="P25" s="48"/>
      <c r="Q25" s="48"/>
      <c r="R25" s="49"/>
      <c r="S25" s="130"/>
      <c r="T25" s="130"/>
      <c r="U25" s="130"/>
      <c r="V25" s="130"/>
      <c r="W25" s="130"/>
      <c r="X25" s="130"/>
      <c r="Y25" s="130"/>
      <c r="Z25" s="130"/>
      <c r="AA25" s="130"/>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row>
    <row r="26" spans="1:58" ht="15" customHeight="1">
      <c r="A26" s="129"/>
      <c r="B26" s="129"/>
      <c r="C26" s="129"/>
      <c r="H26" s="125"/>
      <c r="I26" s="125"/>
      <c r="J26" s="125"/>
      <c r="K26" s="125"/>
      <c r="L26" s="125"/>
      <c r="M26" s="125"/>
      <c r="N26" s="130"/>
      <c r="O26" s="49"/>
      <c r="P26" s="48"/>
      <c r="Q26" s="48"/>
      <c r="R26" s="49"/>
      <c r="S26" s="130"/>
      <c r="T26" s="130"/>
      <c r="U26" s="130"/>
      <c r="V26" s="130"/>
      <c r="W26" s="130"/>
      <c r="X26" s="130"/>
      <c r="Y26" s="130"/>
      <c r="Z26" s="130"/>
      <c r="AA26" s="130"/>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row>
    <row r="27" spans="1:58" ht="15" customHeight="1">
      <c r="A27" s="271" t="s">
        <v>102</v>
      </c>
      <c r="B27" s="129"/>
      <c r="C27" s="129"/>
      <c r="D27" s="129"/>
      <c r="E27" s="129"/>
      <c r="F27" s="129"/>
      <c r="G27" s="210" t="s">
        <v>78</v>
      </c>
      <c r="I27" s="126"/>
      <c r="J27" s="129"/>
      <c r="K27" s="135"/>
      <c r="L27" s="129"/>
      <c r="M27" s="48"/>
      <c r="N27" s="48"/>
      <c r="O27" s="49"/>
      <c r="P27" s="48"/>
      <c r="Q27" s="48"/>
      <c r="R27" s="49"/>
      <c r="S27" s="270" t="s">
        <v>103</v>
      </c>
      <c r="T27" s="36">
        <f>Date_of_survey</f>
        <v>1988.8715846994535</v>
      </c>
      <c r="U27" s="130"/>
      <c r="V27" s="55" t="s">
        <v>138</v>
      </c>
      <c r="W27" s="130"/>
      <c r="X27" s="130"/>
      <c r="Y27" s="130"/>
      <c r="Z27" s="130"/>
      <c r="AA27" s="130"/>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row>
    <row r="28" spans="1:58" ht="15" customHeight="1">
      <c r="A28" s="272"/>
      <c r="B28" s="273"/>
      <c r="C28" s="273"/>
      <c r="D28" s="273"/>
      <c r="E28" s="273"/>
      <c r="F28" s="209"/>
      <c r="G28" s="199"/>
      <c r="H28" s="199"/>
      <c r="I28" s="199"/>
      <c r="J28" s="294" t="s">
        <v>113</v>
      </c>
      <c r="K28" s="200"/>
      <c r="L28" s="135"/>
      <c r="M28" s="280" t="s">
        <v>93</v>
      </c>
      <c r="N28" s="280" t="s">
        <v>129</v>
      </c>
      <c r="O28" s="280" t="s">
        <v>130</v>
      </c>
      <c r="P28" s="280" t="s">
        <v>107</v>
      </c>
      <c r="Q28" s="280" t="s">
        <v>131</v>
      </c>
      <c r="R28" s="280" t="s">
        <v>132</v>
      </c>
      <c r="S28" s="280" t="s">
        <v>133</v>
      </c>
      <c r="T28" s="27"/>
      <c r="U28" s="144"/>
      <c r="V28" s="146"/>
      <c r="W28" s="146"/>
      <c r="X28" s="146"/>
      <c r="Y28" s="146"/>
      <c r="Z28" s="146"/>
      <c r="AA28" s="146"/>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row>
    <row r="29" spans="1:58" ht="15" customHeight="1">
      <c r="A29" s="274" t="s">
        <v>93</v>
      </c>
      <c r="B29" s="274" t="s">
        <v>104</v>
      </c>
      <c r="C29" s="274" t="s">
        <v>139</v>
      </c>
      <c r="D29" s="274" t="s">
        <v>139</v>
      </c>
      <c r="E29" s="299" t="s">
        <v>117</v>
      </c>
      <c r="F29" s="217"/>
      <c r="G29" s="197" t="s">
        <v>35</v>
      </c>
      <c r="H29" s="28" t="s">
        <v>107</v>
      </c>
      <c r="I29" s="28" t="s">
        <v>108</v>
      </c>
      <c r="J29" s="305"/>
      <c r="K29" s="198"/>
      <c r="L29" s="135"/>
      <c r="M29" s="274" t="s">
        <v>109</v>
      </c>
      <c r="N29" s="274" t="s">
        <v>93</v>
      </c>
      <c r="O29" s="274" t="s">
        <v>118</v>
      </c>
      <c r="P29" s="274" t="s">
        <v>136</v>
      </c>
      <c r="Q29" s="274" t="s">
        <v>153</v>
      </c>
      <c r="R29" s="274" t="s">
        <v>134</v>
      </c>
      <c r="S29" s="274" t="s">
        <v>135</v>
      </c>
      <c r="T29" s="60" t="s">
        <v>114</v>
      </c>
      <c r="U29" s="144"/>
      <c r="V29" s="62" t="s">
        <v>7</v>
      </c>
      <c r="W29" s="28" t="s">
        <v>19</v>
      </c>
      <c r="X29" s="28" t="s">
        <v>20</v>
      </c>
      <c r="Y29" s="28" t="s">
        <v>21</v>
      </c>
      <c r="Z29" s="28" t="s">
        <v>22</v>
      </c>
      <c r="AA29" s="28" t="s">
        <v>23</v>
      </c>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row>
    <row r="30" spans="1:58" ht="15" customHeight="1">
      <c r="A30" s="276" t="s">
        <v>109</v>
      </c>
      <c r="B30" s="276" t="s">
        <v>110</v>
      </c>
      <c r="C30" s="276" t="s">
        <v>111</v>
      </c>
      <c r="D30" s="276" t="s">
        <v>112</v>
      </c>
      <c r="E30" s="300"/>
      <c r="F30" s="218"/>
      <c r="G30" s="59" t="s">
        <v>36</v>
      </c>
      <c r="H30" s="31" t="s">
        <v>47</v>
      </c>
      <c r="I30" s="58" t="s">
        <v>26</v>
      </c>
      <c r="J30" s="59" t="str">
        <f>Introduction!D$12</f>
        <v>30q30</v>
      </c>
      <c r="K30" s="60" t="s">
        <v>114</v>
      </c>
      <c r="L30" s="94"/>
      <c r="M30" s="143"/>
      <c r="N30" s="30" t="s">
        <v>13</v>
      </c>
      <c r="O30" s="31" t="s">
        <v>14</v>
      </c>
      <c r="P30" s="30" t="s">
        <v>15</v>
      </c>
      <c r="Q30" s="31" t="s">
        <v>16</v>
      </c>
      <c r="R30" s="31" t="s">
        <v>17</v>
      </c>
      <c r="S30" s="30" t="s">
        <v>18</v>
      </c>
      <c r="T30" s="143"/>
      <c r="U30" s="144"/>
      <c r="V30" s="145"/>
      <c r="W30" s="145"/>
      <c r="X30" s="145"/>
      <c r="Y30" s="145"/>
      <c r="Z30" s="145"/>
      <c r="AA30" s="145"/>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row>
    <row r="31" spans="1:58" ht="15" customHeight="1">
      <c r="A31" s="128"/>
      <c r="B31" s="128"/>
      <c r="C31" s="128"/>
      <c r="D31" s="128"/>
      <c r="E31" s="128"/>
      <c r="F31" s="128"/>
      <c r="G31" s="128"/>
      <c r="H31" s="34"/>
      <c r="I31" s="128"/>
      <c r="J31" s="128"/>
      <c r="K31" s="137"/>
      <c r="L31" s="135"/>
      <c r="M31" s="138"/>
      <c r="N31" s="138"/>
      <c r="O31" s="139"/>
      <c r="P31" s="139"/>
      <c r="Q31" s="136"/>
      <c r="R31" s="136"/>
      <c r="S31" s="136"/>
      <c r="T31" s="136"/>
      <c r="U31" s="130"/>
      <c r="V31" s="136"/>
      <c r="W31" s="140"/>
      <c r="X31" s="140"/>
      <c r="Y31" s="140"/>
      <c r="Z31" s="140"/>
      <c r="AA31" s="140"/>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row>
    <row r="32" spans="1:58" ht="15" customHeight="1">
      <c r="A32" s="141" t="s">
        <v>2</v>
      </c>
      <c r="B32" s="251"/>
      <c r="C32" s="251"/>
      <c r="D32" s="236">
        <v>0.75780000000000003</v>
      </c>
      <c r="E32" s="239">
        <v>20</v>
      </c>
      <c r="F32" s="219"/>
      <c r="G32" s="74">
        <f ca="1">IF(D32&gt;0,W32+X32*E10+Y32*E32+Z32*E32*D32+AA32*D32,0)</f>
        <v>0.7787716368314791</v>
      </c>
      <c r="H32" s="74">
        <f>'Model data'!D$32</f>
        <v>0.71027415735971011</v>
      </c>
      <c r="I32" s="245">
        <f ca="1">-0.5*LN(1+(G32/H32-1/'Model data'!$D$28)/(1-G32))</f>
        <v>0.31462247498343376</v>
      </c>
      <c r="J32" s="248">
        <f ca="1">1-(1+EXP(2*(I32+IF(Introduction!D$12="45q15",'Model data'!$C$24,'Model data'!$C$27))))/(1+EXP(2*(I32+'Model data'!$C$33)))</f>
        <v>0.33933599368782896</v>
      </c>
      <c r="K32" s="242">
        <f ca="1">T32</f>
        <v>1972.3948015338678</v>
      </c>
      <c r="L32" s="135"/>
      <c r="M32" s="84" t="s">
        <v>2</v>
      </c>
      <c r="N32" s="124">
        <v>27.5</v>
      </c>
      <c r="O32" s="128">
        <f>D32</f>
        <v>0.75780000000000003</v>
      </c>
      <c r="P32" s="142">
        <f ca="1">(80-E32-E9)/(80-E9)</f>
        <v>0.55749550931429126</v>
      </c>
      <c r="Q32" s="74">
        <f ca="1">LN(O32/P32)/3</f>
        <v>0.10232168344143287</v>
      </c>
      <c r="R32" s="71">
        <f>E32/2</f>
        <v>10</v>
      </c>
      <c r="S32" s="86">
        <f ca="1">(N32-E32)+R32*(1-Q32)</f>
        <v>16.476783165585672</v>
      </c>
      <c r="T32" s="71">
        <f ca="1">$T$15-S32</f>
        <v>1972.3948015338678</v>
      </c>
      <c r="U32" s="130"/>
      <c r="V32" s="32">
        <v>30</v>
      </c>
      <c r="W32" s="131">
        <v>-1.2719</v>
      </c>
      <c r="X32" s="132">
        <v>1.06E-2</v>
      </c>
      <c r="Y32" s="132">
        <v>4.48E-2</v>
      </c>
      <c r="Z32" s="132">
        <v>-4.0070000000000001E-2</v>
      </c>
      <c r="AA32" s="131">
        <v>1.8383</v>
      </c>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row>
    <row r="33" spans="1:60" ht="15" customHeight="1">
      <c r="A33" s="141" t="s">
        <v>3</v>
      </c>
      <c r="B33" s="252"/>
      <c r="C33" s="252"/>
      <c r="D33" s="236">
        <v>0.75180000000000002</v>
      </c>
      <c r="E33" s="239">
        <v>19.399999999999999</v>
      </c>
      <c r="F33" s="219"/>
      <c r="G33" s="74">
        <f t="shared" ref="G33:G35" ca="1" si="17">IF(D33&gt;0,W33+X33*E11+Y33*E33+Z33*E33*D33+AA33*D33,0)</f>
        <v>0.76808433351699967</v>
      </c>
      <c r="H33" s="74">
        <f>'Model data'!D$32</f>
        <v>0.71027415735971011</v>
      </c>
      <c r="I33" s="245">
        <f ca="1">-0.5*LN(1+(G33/H33-1/'Model data'!$D$28)/(1-G33))</f>
        <v>0.35704772777053762</v>
      </c>
      <c r="J33" s="248">
        <f ca="1">1-(1+EXP(2*(I33+IF(Introduction!D$12="45q15",'Model data'!$C$24,'Model data'!$C$27))))/(1+EXP(2*(I33+'Model data'!$C$33)))</f>
        <v>0.35360033204580499</v>
      </c>
      <c r="K33" s="242">
        <f t="shared" ref="K33:K36" ca="1" si="18">T33</f>
        <v>1966.9623126663553</v>
      </c>
      <c r="L33" s="129"/>
      <c r="M33" s="84" t="s">
        <v>3</v>
      </c>
      <c r="N33" s="124">
        <v>32.5</v>
      </c>
      <c r="O33" s="128">
        <f t="shared" ref="O33:O36" si="19">D33</f>
        <v>0.75180000000000002</v>
      </c>
      <c r="P33" s="142">
        <f ca="1">(80-E33-E10)/(80-E10)</f>
        <v>0.57077064403486255</v>
      </c>
      <c r="Q33" s="74">
        <f t="shared" ref="Q33:Q36" ca="1" si="20">LN(O33/P33)/3</f>
        <v>9.1827625453797398E-2</v>
      </c>
      <c r="R33" s="71">
        <f>E33/2</f>
        <v>9.6999999999999993</v>
      </c>
      <c r="S33" s="86">
        <f ca="1">(N33-E33)+R33*(1-Q33)</f>
        <v>21.909272033098166</v>
      </c>
      <c r="T33" s="71">
        <f ca="1">$T$15-S33</f>
        <v>1966.9623126663553</v>
      </c>
      <c r="U33" s="130"/>
      <c r="V33" s="32">
        <v>35</v>
      </c>
      <c r="W33" s="131">
        <v>-1.2977000000000001</v>
      </c>
      <c r="X33" s="132">
        <v>1.068E-2</v>
      </c>
      <c r="Y33" s="132">
        <v>4.6519999999999999E-2</v>
      </c>
      <c r="Z33" s="132">
        <v>-4.1239999999999999E-2</v>
      </c>
      <c r="AA33" s="131">
        <v>1.853</v>
      </c>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row>
    <row r="34" spans="1:60" ht="15" customHeight="1">
      <c r="A34" s="141" t="s">
        <v>4</v>
      </c>
      <c r="B34" s="251"/>
      <c r="C34" s="251"/>
      <c r="D34" s="236">
        <v>0.74739999999999995</v>
      </c>
      <c r="E34" s="239">
        <v>18.5</v>
      </c>
      <c r="F34" s="219"/>
      <c r="G34" s="74">
        <f ca="1">IF(D34&gt;0,W34+X34*E12+Y34*E34+Z34*E34*D34+AA34*D34,0)</f>
        <v>0.74974880368837959</v>
      </c>
      <c r="H34" s="74">
        <f>'Model data'!D$32</f>
        <v>0.71027415735971011</v>
      </c>
      <c r="I34" s="245">
        <f ca="1">-0.5*LN(1+(G34/H34-1/'Model data'!$D$28)/(1-G34))</f>
        <v>0.42916038996066841</v>
      </c>
      <c r="J34" s="248">
        <f ca="1">1-(1+EXP(2*(I34+IF(Introduction!D$12="45q15",'Model data'!$C$24,'Model data'!$C$27))))/(1+EXP(2*(I34+'Model data'!$C$33)))</f>
        <v>0.37767912176252982</v>
      </c>
      <c r="K34" s="242">
        <f t="shared" ca="1" si="18"/>
        <v>1961.3471560456624</v>
      </c>
      <c r="L34" s="129"/>
      <c r="M34" s="84" t="s">
        <v>4</v>
      </c>
      <c r="N34" s="124">
        <v>37.5</v>
      </c>
      <c r="O34" s="128">
        <f t="shared" si="19"/>
        <v>0.74739999999999995</v>
      </c>
      <c r="P34" s="142">
        <f ca="1">(80-E34-E11)/(80-E11)</f>
        <v>0.59068334611571938</v>
      </c>
      <c r="Q34" s="74">
        <f t="shared" ca="1" si="20"/>
        <v>7.8440145536088024E-2</v>
      </c>
      <c r="R34" s="71">
        <f>E34/2</f>
        <v>9.25</v>
      </c>
      <c r="S34" s="86">
        <f ca="1">(N34-E34)+R34*(1-Q34)</f>
        <v>27.524428653791183</v>
      </c>
      <c r="T34" s="71">
        <f ca="1">$T$15-S34</f>
        <v>1961.3471560456624</v>
      </c>
      <c r="U34" s="130"/>
      <c r="V34" s="32">
        <v>40</v>
      </c>
      <c r="W34" s="131">
        <v>-1.3203</v>
      </c>
      <c r="X34" s="132">
        <v>1.0699999999999999E-2</v>
      </c>
      <c r="Y34" s="132">
        <v>4.7690000000000003E-2</v>
      </c>
      <c r="Z34" s="132">
        <v>-4.2250000000000003E-2</v>
      </c>
      <c r="AA34" s="131">
        <v>1.8726</v>
      </c>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row>
    <row r="35" spans="1:60" ht="15" customHeight="1">
      <c r="A35" s="141" t="s">
        <v>5</v>
      </c>
      <c r="B35" s="252"/>
      <c r="C35" s="252"/>
      <c r="D35" s="236">
        <v>0.70930000000000004</v>
      </c>
      <c r="E35" s="239">
        <v>18</v>
      </c>
      <c r="F35" s="219"/>
      <c r="G35" s="74">
        <f t="shared" ca="1" si="17"/>
        <v>0.69919696668837972</v>
      </c>
      <c r="H35" s="74">
        <f>'Model data'!D$32</f>
        <v>0.71027415735971011</v>
      </c>
      <c r="I35" s="245">
        <f ca="1">-0.5*LN(1+(G35/H35-1/'Model data'!$D$28)/(1-G35))</f>
        <v>0.62923674119170969</v>
      </c>
      <c r="J35" s="248">
        <f ca="1">1-(1+EXP(2*(I35+IF(Introduction!D$12="45q15",'Model data'!$C$24,'Model data'!$C$27))))/(1+EXP(2*(I35+'Model data'!$C$33)))</f>
        <v>0.44159994410357351</v>
      </c>
      <c r="K35" s="242">
        <f t="shared" ca="1" si="18"/>
        <v>1955.8649143234725</v>
      </c>
      <c r="L35" s="129"/>
      <c r="M35" s="84" t="s">
        <v>5</v>
      </c>
      <c r="N35" s="124">
        <v>42.5</v>
      </c>
      <c r="O35" s="128">
        <f t="shared" si="19"/>
        <v>0.70930000000000004</v>
      </c>
      <c r="P35" s="142">
        <f ca="1">(80-E35-E12)/(80-E12)</f>
        <v>0.60174595838286205</v>
      </c>
      <c r="Q35" s="74">
        <f t="shared" ca="1" si="20"/>
        <v>5.4814402668788252E-2</v>
      </c>
      <c r="R35" s="71">
        <f>E35/2</f>
        <v>9</v>
      </c>
      <c r="S35" s="86">
        <f ca="1">(N35-E35)+R35*(1-Q35)</f>
        <v>33.006670375980903</v>
      </c>
      <c r="T35" s="71">
        <f ca="1">$T$15-S35</f>
        <v>1955.8649143234725</v>
      </c>
      <c r="U35" s="130"/>
      <c r="V35" s="32">
        <v>45</v>
      </c>
      <c r="W35" s="131">
        <v>-1.3231999999999999</v>
      </c>
      <c r="X35" s="132">
        <v>1.0699999999999999E-2</v>
      </c>
      <c r="Y35" s="132">
        <v>4.7829999999999998E-2</v>
      </c>
      <c r="Z35" s="132">
        <v>-4.2380000000000001E-2</v>
      </c>
      <c r="AA35" s="34">
        <v>1.8753</v>
      </c>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row>
    <row r="36" spans="1:60" ht="15" customHeight="1">
      <c r="A36" s="141" t="s">
        <v>6</v>
      </c>
      <c r="B36" s="251"/>
      <c r="C36" s="251"/>
      <c r="D36" s="236">
        <v>0.68100000000000005</v>
      </c>
      <c r="E36" s="239">
        <v>17.5</v>
      </c>
      <c r="F36" s="219"/>
      <c r="G36" s="74">
        <f ca="1">IF(D36&gt;0,W36+X36*E13+Y36*E36+Z36*E36*D36+AA36*D36,0)</f>
        <v>0.65822973868837964</v>
      </c>
      <c r="H36" s="74">
        <f>'Model data'!D$32</f>
        <v>0.71027415735971011</v>
      </c>
      <c r="I36" s="245">
        <f ca="1">-0.5*LN(1+(G36/H36-1/'Model data'!$D$28)/(1-G36))</f>
        <v>0.8018781552007227</v>
      </c>
      <c r="J36" s="248">
        <f ca="1">1-(1+EXP(2*(I36+IF(Introduction!D$12="45q15",'Model data'!$C$24,'Model data'!$C$27))))/(1+EXP(2*(I36+'Model data'!$C$33)))</f>
        <v>0.49090082341800489</v>
      </c>
      <c r="K36" s="242">
        <f t="shared" ca="1" si="18"/>
        <v>1950.4293213296255</v>
      </c>
      <c r="L36" s="129"/>
      <c r="M36" s="84" t="s">
        <v>6</v>
      </c>
      <c r="N36" s="124">
        <v>47.5</v>
      </c>
      <c r="O36" s="128">
        <f t="shared" si="19"/>
        <v>0.68100000000000005</v>
      </c>
      <c r="P36" s="142">
        <f ca="1">(80-E36-E13)/(80-E13)</f>
        <v>0.61280857065000482</v>
      </c>
      <c r="Q36" s="74">
        <f t="shared" ca="1" si="20"/>
        <v>3.5169900591092242E-2</v>
      </c>
      <c r="R36" s="71">
        <f>E36/2</f>
        <v>8.75</v>
      </c>
      <c r="S36" s="86">
        <f ca="1">(N36-E36)+R36*(1-Q36)</f>
        <v>38.442263369827941</v>
      </c>
      <c r="T36" s="71">
        <f ca="1">$T$15-S36</f>
        <v>1950.4293213296255</v>
      </c>
      <c r="U36" s="130"/>
      <c r="V36" s="32">
        <v>50</v>
      </c>
      <c r="W36" s="131">
        <v>-1.3231999999999999</v>
      </c>
      <c r="X36" s="132">
        <v>1.0699999999999999E-2</v>
      </c>
      <c r="Y36" s="132">
        <v>4.7829999999999998E-2</v>
      </c>
      <c r="Z36" s="132">
        <v>-4.2380000000000001E-2</v>
      </c>
      <c r="AA36" s="34">
        <v>1.8753</v>
      </c>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row>
    <row r="37" spans="1:60" ht="15" customHeight="1">
      <c r="A37" s="82"/>
      <c r="B37" s="82"/>
      <c r="C37" s="82"/>
      <c r="D37" s="82"/>
      <c r="E37" s="82"/>
      <c r="F37" s="82"/>
      <c r="G37" s="98"/>
      <c r="H37" s="99"/>
      <c r="I37" s="99"/>
      <c r="J37" s="82"/>
      <c r="K37" s="82"/>
      <c r="L37" s="21"/>
      <c r="M37" s="102"/>
      <c r="N37" s="102"/>
      <c r="O37" s="102"/>
      <c r="P37" s="103"/>
      <c r="Q37" s="83"/>
      <c r="R37" s="83"/>
      <c r="S37" s="83"/>
      <c r="T37" s="82"/>
      <c r="U37" s="9"/>
      <c r="V37" s="83"/>
      <c r="W37" s="82"/>
      <c r="X37" s="82"/>
      <c r="Y37" s="82"/>
      <c r="Z37" s="82"/>
      <c r="AA37" s="82"/>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row>
    <row r="38" spans="1:60" ht="15" customHeight="1">
      <c r="A38" s="75"/>
      <c r="B38" s="75"/>
      <c r="C38" s="75"/>
      <c r="D38" s="75"/>
      <c r="E38" s="75"/>
      <c r="F38" s="75"/>
      <c r="G38" s="75"/>
      <c r="H38" s="23"/>
      <c r="I38" s="23"/>
      <c r="J38" s="75"/>
      <c r="K38" s="91"/>
      <c r="L38" s="75"/>
      <c r="M38" s="75"/>
      <c r="N38" s="1"/>
      <c r="O38" s="1"/>
      <c r="P38" s="9"/>
      <c r="Q38" s="9"/>
      <c r="R38" s="9"/>
      <c r="S38" s="1"/>
      <c r="T38" s="9"/>
      <c r="U38" s="9"/>
      <c r="V38" s="9"/>
      <c r="W38" s="9"/>
      <c r="X38" s="9"/>
      <c r="Y38" s="9"/>
      <c r="Z38" s="9"/>
      <c r="AA38" s="9"/>
      <c r="AB38" s="9"/>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row>
    <row r="39" spans="1:60" ht="15" customHeight="1">
      <c r="A39" s="282" t="s">
        <v>121</v>
      </c>
      <c r="B39" s="25"/>
      <c r="C39" s="25"/>
      <c r="D39" s="25"/>
      <c r="E39" s="25"/>
      <c r="F39" s="25"/>
      <c r="G39" s="174"/>
      <c r="L39" s="5"/>
      <c r="M39" s="5"/>
      <c r="N39" s="1"/>
      <c r="O39" s="1"/>
      <c r="P39" s="9"/>
      <c r="Q39" s="9"/>
      <c r="R39" s="9"/>
      <c r="S39" s="1"/>
      <c r="T39" s="9"/>
      <c r="U39" s="9"/>
      <c r="V39" s="9"/>
      <c r="W39" s="9"/>
      <c r="X39" s="9"/>
      <c r="Y39" s="9"/>
      <c r="Z39" s="9"/>
      <c r="AA39" s="9"/>
      <c r="AB39" s="9"/>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row>
    <row r="40" spans="1:60" ht="15" customHeight="1">
      <c r="B40" s="176" t="s">
        <v>52</v>
      </c>
      <c r="C40" s="177">
        <f>'Maternal orphanhood'!$C$56</f>
        <v>26.503407155025553</v>
      </c>
      <c r="D40" s="175"/>
      <c r="E40" s="175"/>
      <c r="F40" s="175"/>
      <c r="G40" s="174"/>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row>
    <row r="41" spans="1:60" ht="15" customHeight="1" thickBot="1">
      <c r="B41" s="281" t="s">
        <v>146</v>
      </c>
      <c r="C41" s="177">
        <f ca="1">D62-E62</f>
        <v>8.2993114139819042</v>
      </c>
      <c r="D41" s="178"/>
      <c r="E41" s="178"/>
      <c r="F41" s="178"/>
      <c r="G41" s="174"/>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row>
    <row r="42" spans="1:60" ht="15" customHeight="1" thickBot="1">
      <c r="B42" s="253" t="s">
        <v>73</v>
      </c>
      <c r="C42" s="247">
        <f ca="1">C40+C41</f>
        <v>34.802718569007453</v>
      </c>
      <c r="D42" s="175"/>
      <c r="E42" s="175"/>
      <c r="F42" s="175"/>
      <c r="G42" s="179"/>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row>
    <row r="43" spans="1:60" ht="15" customHeight="1">
      <c r="B43" s="175"/>
      <c r="C43" s="175"/>
      <c r="D43" s="175"/>
      <c r="E43" s="175"/>
      <c r="F43" s="175"/>
      <c r="G43" s="25"/>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row>
    <row r="44" spans="1:60" ht="15" customHeight="1">
      <c r="A44" s="22" t="s">
        <v>147</v>
      </c>
      <c r="B44" s="175"/>
      <c r="C44" s="175"/>
      <c r="D44" s="175"/>
      <c r="E44" s="175"/>
      <c r="F44" s="175"/>
      <c r="G44" s="175"/>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row>
    <row r="45" spans="1:60" ht="15" customHeight="1">
      <c r="A45" s="294" t="s">
        <v>65</v>
      </c>
      <c r="B45" s="294" t="s">
        <v>148</v>
      </c>
      <c r="C45" s="294" t="s">
        <v>149</v>
      </c>
      <c r="D45" s="303" t="s">
        <v>144</v>
      </c>
      <c r="E45" s="303" t="s">
        <v>145</v>
      </c>
      <c r="F45" s="30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row>
    <row r="46" spans="1:60" ht="17.25" customHeight="1">
      <c r="A46" s="301" t="s">
        <v>64</v>
      </c>
      <c r="B46" s="302"/>
      <c r="C46" s="301"/>
      <c r="D46" s="304"/>
      <c r="E46" s="304"/>
      <c r="F46" s="304"/>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row>
    <row r="47" spans="1:60" ht="15" customHeight="1">
      <c r="A47" s="203" t="s">
        <v>12</v>
      </c>
      <c r="B47" s="249">
        <v>1000</v>
      </c>
      <c r="C47" s="249">
        <v>5650</v>
      </c>
      <c r="D47" s="180">
        <f>SUM(B$47:B47)/B$62</f>
        <v>3.4035369556042642E-4</v>
      </c>
      <c r="E47" s="180">
        <f>SUM(C$47:C47)/C$62</f>
        <v>1.9039634115519694E-3</v>
      </c>
      <c r="F47" s="180"/>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row>
    <row r="48" spans="1:60" ht="15" customHeight="1">
      <c r="A48" s="203" t="s">
        <v>0</v>
      </c>
      <c r="B48" s="249">
        <v>15000</v>
      </c>
      <c r="C48" s="249">
        <v>209864</v>
      </c>
      <c r="D48" s="180">
        <f>SUM(B$47:B48)/B$62</f>
        <v>5.4456591289668227E-3</v>
      </c>
      <c r="E48" s="180">
        <f>SUM(C$47:C48)/C$62</f>
        <v>7.262491516410817E-2</v>
      </c>
      <c r="F48" s="180"/>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row>
    <row r="49" spans="1:60" ht="15" customHeight="1">
      <c r="A49" s="203" t="s">
        <v>1</v>
      </c>
      <c r="B49" s="249">
        <v>120000</v>
      </c>
      <c r="C49" s="249">
        <v>556948</v>
      </c>
      <c r="D49" s="180">
        <f>SUM(B$47:B49)/B$62</f>
        <v>4.6288102596217989E-2</v>
      </c>
      <c r="E49" s="180">
        <f>SUM(C$47:C49)/C$62</f>
        <v>0.26030785571933762</v>
      </c>
      <c r="F49" s="180"/>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row>
    <row r="50" spans="1:60" ht="13.2">
      <c r="A50" s="203" t="s">
        <v>2</v>
      </c>
      <c r="B50" s="249">
        <v>350000</v>
      </c>
      <c r="C50" s="249">
        <v>541418</v>
      </c>
      <c r="D50" s="180">
        <f>SUM(B$47:B50)/B$62</f>
        <v>0.16541189604236722</v>
      </c>
      <c r="E50" s="180">
        <f>SUM(C$47:C50)/C$62</f>
        <v>0.44275742427785869</v>
      </c>
      <c r="F50" s="180"/>
      <c r="L50" s="115"/>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row>
    <row r="51" spans="1:60" ht="13.2">
      <c r="A51" s="203" t="s">
        <v>3</v>
      </c>
      <c r="B51" s="249">
        <v>450000</v>
      </c>
      <c r="C51" s="249">
        <v>393237</v>
      </c>
      <c r="D51" s="180">
        <f>SUM(B$47:B51)/B$62</f>
        <v>0.31857105904455912</v>
      </c>
      <c r="E51" s="180">
        <f>SUM(C$47:C51)/C$62</f>
        <v>0.57527226676785193</v>
      </c>
      <c r="F51" s="180"/>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row>
    <row r="52" spans="1:60" ht="13.2">
      <c r="A52" s="203" t="s">
        <v>4</v>
      </c>
      <c r="B52" s="249">
        <v>500000</v>
      </c>
      <c r="C52" s="249">
        <v>312375</v>
      </c>
      <c r="D52" s="180">
        <f>SUM(B$47:B52)/B$62</f>
        <v>0.48874790682477232</v>
      </c>
      <c r="E52" s="180">
        <f>SUM(C$47:C52)/C$62</f>
        <v>0.68053785449945303</v>
      </c>
      <c r="F52" s="180"/>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row>
    <row r="53" spans="1:60" ht="13.2">
      <c r="A53" s="203" t="s">
        <v>5</v>
      </c>
      <c r="B53" s="249">
        <v>360000</v>
      </c>
      <c r="C53" s="249">
        <v>242151</v>
      </c>
      <c r="D53" s="180">
        <f>SUM(B$47:B53)/B$62</f>
        <v>0.61127523722652577</v>
      </c>
      <c r="E53" s="180">
        <f>SUM(C$47:C53)/C$62</f>
        <v>0.76213903044117359</v>
      </c>
      <c r="F53" s="180"/>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row>
    <row r="54" spans="1:60" ht="13.2">
      <c r="A54" s="203" t="s">
        <v>6</v>
      </c>
      <c r="B54" s="249">
        <v>320000</v>
      </c>
      <c r="C54" s="249">
        <v>177577</v>
      </c>
      <c r="D54" s="180">
        <f>SUM(B$47:B54)/B$62</f>
        <v>0.72018841980586223</v>
      </c>
      <c r="E54" s="180">
        <f>SUM(C$47:C54)/C$62</f>
        <v>0.82197975800456546</v>
      </c>
      <c r="F54" s="180"/>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row>
    <row r="55" spans="1:60" ht="13.2">
      <c r="A55" s="203" t="s">
        <v>8</v>
      </c>
      <c r="B55" s="249">
        <v>230000</v>
      </c>
      <c r="C55" s="249">
        <v>169506</v>
      </c>
      <c r="D55" s="180">
        <f>SUM(B$47:B55)/B$62</f>
        <v>0.79846976978476036</v>
      </c>
      <c r="E55" s="180">
        <f>SUM(C$47:C55)/C$62</f>
        <v>0.87910068225917226</v>
      </c>
      <c r="F55" s="180"/>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row>
    <row r="56" spans="1:60" ht="13.2">
      <c r="A56" s="203" t="s">
        <v>66</v>
      </c>
      <c r="B56" s="249">
        <v>161760</v>
      </c>
      <c r="C56" s="249">
        <v>104932</v>
      </c>
      <c r="D56" s="180">
        <f>SUM(B$47:B56)/B$62</f>
        <v>0.85352538357861485</v>
      </c>
      <c r="E56" s="180">
        <f>SUM(C$47:C56)/C$62</f>
        <v>0.91446115813545037</v>
      </c>
      <c r="F56" s="180"/>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row>
    <row r="57" spans="1:60" ht="13.2">
      <c r="A57" s="203" t="s">
        <v>67</v>
      </c>
      <c r="B57" s="249">
        <v>135060</v>
      </c>
      <c r="C57" s="249">
        <v>96860</v>
      </c>
      <c r="D57" s="180">
        <f>SUM(B$47:B57)/B$62</f>
        <v>0.89949355370100603</v>
      </c>
      <c r="E57" s="180">
        <f>SUM(C$47:C57)/C$62</f>
        <v>0.94710149371826868</v>
      </c>
      <c r="F57" s="180"/>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row>
    <row r="58" spans="1:60" ht="13.2">
      <c r="A58" s="203" t="s">
        <v>68</v>
      </c>
      <c r="B58" s="249">
        <v>101860</v>
      </c>
      <c r="C58" s="249">
        <v>60537</v>
      </c>
      <c r="D58" s="180">
        <f>SUM(B$47:B58)/B$62</f>
        <v>0.93416198113079107</v>
      </c>
      <c r="E58" s="180">
        <f>SUM(C$47:C58)/C$62</f>
        <v>0.96750153496519287</v>
      </c>
      <c r="F58" s="180"/>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row>
    <row r="59" spans="1:60" ht="13.2">
      <c r="A59" s="203" t="s">
        <v>69</v>
      </c>
      <c r="B59" s="249">
        <v>72080</v>
      </c>
      <c r="C59" s="249">
        <v>38744</v>
      </c>
      <c r="D59" s="180">
        <f>SUM(B$47:B59)/B$62</f>
        <v>0.95869467550678666</v>
      </c>
      <c r="E59" s="180">
        <f>SUM(C$47:C59)/C$62</f>
        <v>0.98055766919832021</v>
      </c>
      <c r="F59" s="180"/>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row>
    <row r="60" spans="1:60" ht="13.2">
      <c r="A60" s="203" t="s">
        <v>70</v>
      </c>
      <c r="B60" s="249">
        <v>56240</v>
      </c>
      <c r="C60" s="249">
        <v>24295</v>
      </c>
      <c r="D60" s="180">
        <f>SUM(B$47:B60)/B$62</f>
        <v>0.97783616734510503</v>
      </c>
      <c r="E60" s="180">
        <f>SUM(C$47:C60)/C$62</f>
        <v>0.98874471186799362</v>
      </c>
      <c r="F60" s="180"/>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row>
    <row r="61" spans="1:60" ht="13.2">
      <c r="A61" s="203" t="s">
        <v>71</v>
      </c>
      <c r="B61" s="249">
        <v>65120</v>
      </c>
      <c r="C61" s="249">
        <v>33400</v>
      </c>
      <c r="D61" s="180">
        <f>SUM(B$47:B61)/B$62</f>
        <v>1</v>
      </c>
      <c r="E61" s="180">
        <f>SUM(C$47:C61)/C$62</f>
        <v>1</v>
      </c>
      <c r="F61" s="180"/>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row>
    <row r="62" spans="1:60" ht="13.2">
      <c r="A62" s="204" t="s">
        <v>143</v>
      </c>
      <c r="B62" s="181">
        <f>SUM(B47:B61)</f>
        <v>2938120</v>
      </c>
      <c r="C62" s="181">
        <f>SUM(C47:C61)</f>
        <v>2967494</v>
      </c>
      <c r="D62" s="182">
        <f ca="1">INDEX('Model data'!$A$23:$A$38,MATCH(0.5,D$47:D$61,1),1)+5+5*(0.5-OFFSET(D$47,MATCH(0.5,D$47:D$61,1)-1,0))/(OFFSET(D$47,MATCH(0.5,D$47:D$61,1),0)-OFFSET(D$47,MATCH(0.5,D$47:D$61,1)-1,0))</f>
        <v>40.459166666666668</v>
      </c>
      <c r="E62" s="182">
        <f ca="1">INDEX('Model data'!$A$23:$A$38,MATCH(0.5,E$47:E$61,1),1)+5+5*(0.5-OFFSET(E$47,MATCH(0.5,E$47:E$61,1)-1,0))/(OFFSET(E$47,MATCH(0.5,E$47:E$61,1),0)-OFFSET(E$47,MATCH(0.5,E$47:E$61,1)-1,0))</f>
        <v>32.159855252684764</v>
      </c>
      <c r="F62" s="212"/>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row>
    <row r="63" spans="1:60" ht="13.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row>
    <row r="64" spans="1:60" ht="13.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row>
    <row r="65" spans="1:60" ht="13.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row>
    <row r="66" spans="1:60" ht="13.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row>
    <row r="67" spans="1:60" ht="13.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row>
    <row r="68" spans="1:60" ht="13.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row>
    <row r="69" spans="1:60" ht="13.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row>
    <row r="70" spans="1:60" ht="13.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row>
    <row r="71" spans="1:60" ht="13.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row>
    <row r="72" spans="1:60" ht="13.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row>
    <row r="73" spans="1:60" ht="13.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row>
    <row r="74" spans="1:60" ht="13.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row>
    <row r="75" spans="1:60" ht="13.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row>
    <row r="76" spans="1:60" ht="13.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row>
    <row r="77" spans="1:60" ht="13.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row>
    <row r="78" spans="1:60" ht="13.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row>
    <row r="79" spans="1:60" ht="13.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row>
    <row r="80" spans="1:60" ht="13.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row>
    <row r="81" spans="1:60" ht="13.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row>
    <row r="82" spans="1:60" ht="13.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row>
    <row r="83" spans="1:60" ht="13.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row>
    <row r="84" spans="1:60" ht="13.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row>
    <row r="85" spans="1:60" ht="13.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row>
    <row r="86" spans="1:60" ht="13.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row>
    <row r="87" spans="1:60" ht="13.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row>
    <row r="88" spans="1:60" ht="13.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row>
    <row r="89" spans="1:60" ht="13.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row>
    <row r="90" spans="1:60" ht="13.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row>
    <row r="91" spans="1:60" ht="13.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row>
    <row r="92" spans="1:60" ht="13.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row>
    <row r="93" spans="1:60" ht="13.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row>
    <row r="94" spans="1:60" ht="13.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row>
    <row r="95" spans="1:60" ht="13.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row>
    <row r="96" spans="1:60" ht="13.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row>
    <row r="97" spans="7:60" ht="13.2">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row>
    <row r="98" spans="7:60" ht="13.2">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row>
    <row r="99" spans="7:60" ht="13.2">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row>
    <row r="100" spans="7:60" ht="13.2">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row>
    <row r="101" spans="7:60" ht="13.2">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row>
    <row r="102" spans="7:60" ht="13.2">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row>
    <row r="103" spans="7:60" ht="13.2">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row>
    <row r="104" spans="7:60" ht="13.2">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row>
    <row r="105" spans="7:60" ht="13.2">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row>
    <row r="106" spans="7:60" ht="13.2">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row>
    <row r="107" spans="7:60" ht="13.2">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row>
    <row r="108" spans="7:60" ht="13.2">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row>
    <row r="109" spans="7:60" ht="13.2">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row>
    <row r="110" spans="7:60" ht="13.2">
      <c r="G110" s="23"/>
      <c r="H110" s="23"/>
      <c r="I110" s="23"/>
      <c r="J110" s="23"/>
      <c r="K110" s="23"/>
      <c r="L110" s="23"/>
      <c r="M110" s="23"/>
      <c r="N110" s="23"/>
      <c r="O110" s="23"/>
      <c r="P110" s="23"/>
      <c r="Q110" s="23"/>
      <c r="R110" s="23"/>
      <c r="S110" s="23"/>
      <c r="T110" s="23"/>
      <c r="U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row>
    <row r="111" spans="7:60" ht="13.2">
      <c r="G111" s="23"/>
      <c r="H111" s="23"/>
      <c r="I111" s="23"/>
      <c r="J111" s="23"/>
      <c r="K111" s="23"/>
      <c r="L111" s="23"/>
      <c r="M111" s="23"/>
      <c r="N111" s="23"/>
      <c r="O111" s="23"/>
      <c r="P111" s="23"/>
      <c r="Q111" s="23"/>
      <c r="R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row>
    <row r="112" spans="7:60" ht="13.2">
      <c r="L112" s="23"/>
      <c r="M112" s="23"/>
      <c r="N112" s="23"/>
      <c r="O112" s="23"/>
      <c r="P112" s="23"/>
      <c r="Q112" s="23"/>
      <c r="R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row>
    <row r="113" spans="12:60" ht="13.2">
      <c r="L113" s="23"/>
      <c r="M113" s="23"/>
      <c r="N113" s="23"/>
      <c r="O113" s="23"/>
      <c r="P113" s="23"/>
      <c r="Q113" s="23"/>
      <c r="R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row>
    <row r="114" spans="12:60" ht="13.2">
      <c r="M114" s="23"/>
      <c r="N114" s="23"/>
      <c r="O114" s="23"/>
      <c r="P114" s="23"/>
    </row>
  </sheetData>
  <mergeCells count="13">
    <mergeCell ref="J16:J17"/>
    <mergeCell ref="J28:J29"/>
    <mergeCell ref="J2:J3"/>
    <mergeCell ref="E45:E46"/>
    <mergeCell ref="E16:E18"/>
    <mergeCell ref="E3:E4"/>
    <mergeCell ref="E29:E30"/>
    <mergeCell ref="F45:F46"/>
    <mergeCell ref="A45:A46"/>
    <mergeCell ref="B45:B46"/>
    <mergeCell ref="C45:C46"/>
    <mergeCell ref="D45:D46"/>
    <mergeCell ref="B16:B18"/>
  </mergeCells>
  <phoneticPr fontId="59" type="noConversion"/>
  <dataValidations count="2">
    <dataValidation type="decimal" operator="greaterThanOrEqual" allowBlank="1" showInputMessage="1" showErrorMessage="1" sqref="E23 B32:D36 B20:D23 B6:D13" xr:uid="{00000000-0002-0000-0300-000000000000}">
      <formula1>0</formula1>
    </dataValidation>
    <dataValidation type="decimal" operator="greaterThanOrEqual" allowBlank="1" showInputMessage="1" showErrorMessage="1" error="Input number &gt;= 0" sqref="B47:C61" xr:uid="{00000000-0002-0000-0300-000001000000}">
      <formula1>0</formula1>
    </dataValidation>
  </dataValidations>
  <pageMargins left="0.70866141732283472" right="0.70866141732283472" top="0.74803149606299213" bottom="0.74803149606299213" header="0.31496062992125984" footer="0.31496062992125984"/>
  <pageSetup paperSize="9" scale="95" orientation="portrait" r:id="rId1"/>
  <headerFooter>
    <oddHeader>&amp;L&amp;"+,Bold"&amp;13Tools for Demographic Estimation&amp;R&amp;"+,Bold"&amp;13Orphanhood before &amp;&amp; since 1st marriage</oddHeader>
    <oddFooter>&amp;L&amp;"+,Regular"&amp;12&amp;F&amp;R&amp;"+,Regular"&amp;12&amp;D  &amp;T</oddFooter>
  </headerFooter>
  <rowBreaks count="1" manualBreakCount="1">
    <brk id="37" max="16383" man="1"/>
  </rowBreaks>
  <colBreaks count="2" manualBreakCount="2">
    <brk id="11" max="1048575" man="1"/>
    <brk id="20"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59999389629810485"/>
    <pageSetUpPr fitToPage="1"/>
  </sheetPr>
  <dimension ref="A1:I40"/>
  <sheetViews>
    <sheetView showGridLines="0" showRowColHeaders="0" topLeftCell="A8" zoomScaleNormal="100" workbookViewId="0">
      <selection activeCell="R19" sqref="R19"/>
    </sheetView>
  </sheetViews>
  <sheetFormatPr defaultRowHeight="12"/>
  <sheetData>
    <row r="1" spans="1:9">
      <c r="A1" s="105"/>
      <c r="B1" s="105"/>
      <c r="C1" s="105"/>
      <c r="D1" s="105"/>
      <c r="E1" s="105"/>
      <c r="F1" s="105"/>
      <c r="G1" s="105"/>
      <c r="H1" s="105"/>
      <c r="I1" s="105"/>
    </row>
    <row r="2" spans="1:9">
      <c r="A2" s="105"/>
      <c r="B2" s="105"/>
      <c r="C2" s="105"/>
      <c r="D2" s="105"/>
      <c r="E2" s="105"/>
      <c r="F2" s="105"/>
      <c r="G2" s="105"/>
      <c r="H2" s="105"/>
      <c r="I2" s="105"/>
    </row>
    <row r="3" spans="1:9">
      <c r="A3" s="105"/>
      <c r="B3" s="105"/>
      <c r="C3" s="105"/>
      <c r="D3" s="105"/>
      <c r="E3" s="105"/>
      <c r="F3" s="105"/>
      <c r="G3" s="105"/>
      <c r="H3" s="105"/>
      <c r="I3" s="105"/>
    </row>
    <row r="4" spans="1:9">
      <c r="A4" s="105"/>
      <c r="B4" s="105"/>
      <c r="C4" s="105"/>
      <c r="D4" s="105"/>
      <c r="E4" s="105"/>
      <c r="F4" s="105"/>
      <c r="G4" s="105"/>
      <c r="H4" s="105"/>
      <c r="I4" s="105"/>
    </row>
    <row r="5" spans="1:9">
      <c r="A5" s="105"/>
      <c r="B5" s="105"/>
      <c r="C5" s="105"/>
      <c r="D5" s="105"/>
      <c r="E5" s="105"/>
      <c r="F5" s="105"/>
      <c r="G5" s="105"/>
      <c r="H5" s="105"/>
      <c r="I5" s="105"/>
    </row>
    <row r="6" spans="1:9">
      <c r="A6" s="105"/>
      <c r="B6" s="105"/>
      <c r="C6" s="105"/>
      <c r="D6" s="105"/>
      <c r="E6" s="105"/>
      <c r="F6" s="105"/>
      <c r="G6" s="105"/>
      <c r="H6" s="105"/>
      <c r="I6" s="105"/>
    </row>
    <row r="7" spans="1:9">
      <c r="A7" s="105"/>
      <c r="B7" s="105"/>
      <c r="C7" s="105"/>
      <c r="D7" s="105"/>
      <c r="E7" s="105"/>
      <c r="F7" s="105"/>
      <c r="G7" s="105"/>
      <c r="H7" s="105"/>
      <c r="I7" s="105"/>
    </row>
    <row r="8" spans="1:9">
      <c r="A8" s="105"/>
      <c r="B8" s="105"/>
      <c r="C8" s="105"/>
      <c r="D8" s="105"/>
      <c r="E8" s="105"/>
      <c r="F8" s="105"/>
      <c r="G8" s="105"/>
      <c r="H8" s="105"/>
      <c r="I8" s="105"/>
    </row>
    <row r="9" spans="1:9">
      <c r="A9" s="105"/>
      <c r="B9" s="105"/>
      <c r="C9" s="105"/>
      <c r="D9" s="105"/>
      <c r="E9" s="105"/>
      <c r="F9" s="105"/>
      <c r="G9" s="105"/>
      <c r="H9" s="105"/>
      <c r="I9" s="105"/>
    </row>
    <row r="10" spans="1:9">
      <c r="A10" s="105"/>
      <c r="B10" s="105"/>
      <c r="C10" s="105"/>
      <c r="D10" s="105"/>
      <c r="E10" s="105"/>
      <c r="F10" s="105"/>
      <c r="G10" s="105"/>
      <c r="H10" s="105"/>
      <c r="I10" s="105"/>
    </row>
    <row r="11" spans="1:9">
      <c r="A11" s="105"/>
      <c r="B11" s="105"/>
      <c r="C11" s="105"/>
      <c r="D11" s="105"/>
      <c r="E11" s="105"/>
      <c r="F11" s="105"/>
      <c r="G11" s="105"/>
      <c r="H11" s="105"/>
      <c r="I11" s="105"/>
    </row>
    <row r="12" spans="1:9">
      <c r="A12" s="105"/>
      <c r="B12" s="105"/>
      <c r="C12" s="105"/>
      <c r="D12" s="105"/>
      <c r="E12" s="105"/>
      <c r="F12" s="105"/>
      <c r="G12" s="105"/>
      <c r="H12" s="105"/>
      <c r="I12" s="105"/>
    </row>
    <row r="13" spans="1:9">
      <c r="A13" s="105"/>
      <c r="B13" s="105"/>
      <c r="C13" s="105"/>
      <c r="D13" s="105"/>
      <c r="E13" s="105"/>
      <c r="F13" s="105"/>
      <c r="G13" s="105"/>
      <c r="H13" s="105"/>
      <c r="I13" s="105"/>
    </row>
    <row r="14" spans="1:9">
      <c r="A14" s="105"/>
      <c r="B14" s="105"/>
      <c r="C14" s="105"/>
      <c r="D14" s="105"/>
      <c r="E14" s="105"/>
      <c r="F14" s="105"/>
      <c r="G14" s="105"/>
      <c r="H14" s="105"/>
      <c r="I14" s="105"/>
    </row>
    <row r="15" spans="1:9">
      <c r="A15" s="105"/>
      <c r="B15" s="105"/>
      <c r="C15" s="105"/>
      <c r="D15" s="105"/>
      <c r="E15" s="105"/>
      <c r="F15" s="105"/>
      <c r="G15" s="105"/>
      <c r="H15" s="105"/>
      <c r="I15" s="105"/>
    </row>
    <row r="16" spans="1:9">
      <c r="A16" s="105"/>
      <c r="B16" s="105"/>
      <c r="C16" s="105"/>
      <c r="D16" s="105"/>
      <c r="E16" s="105"/>
      <c r="F16" s="105"/>
      <c r="G16" s="105"/>
      <c r="H16" s="105"/>
      <c r="I16" s="105"/>
    </row>
    <row r="17" spans="1:9">
      <c r="A17" s="105"/>
      <c r="B17" s="105"/>
      <c r="C17" s="105"/>
      <c r="D17" s="105"/>
      <c r="E17" s="105"/>
      <c r="F17" s="105"/>
      <c r="G17" s="105"/>
      <c r="H17" s="105"/>
      <c r="I17" s="105"/>
    </row>
    <row r="18" spans="1:9">
      <c r="A18" s="105"/>
      <c r="B18" s="105"/>
      <c r="C18" s="105"/>
      <c r="D18" s="105"/>
      <c r="E18" s="105"/>
      <c r="F18" s="105"/>
      <c r="G18" s="105"/>
      <c r="H18" s="105"/>
      <c r="I18" s="105"/>
    </row>
    <row r="19" spans="1:9">
      <c r="A19" s="105"/>
      <c r="B19" s="105"/>
      <c r="C19" s="105"/>
      <c r="D19" s="105"/>
      <c r="E19" s="105"/>
      <c r="F19" s="105"/>
      <c r="G19" s="105"/>
      <c r="H19" s="105"/>
      <c r="I19" s="105"/>
    </row>
    <row r="20" spans="1:9">
      <c r="A20" s="105"/>
      <c r="B20" s="105"/>
      <c r="C20" s="105"/>
      <c r="D20" s="105"/>
      <c r="E20" s="105"/>
      <c r="F20" s="105"/>
      <c r="G20" s="105"/>
      <c r="H20" s="105"/>
      <c r="I20" s="105"/>
    </row>
    <row r="21" spans="1:9">
      <c r="A21" s="105"/>
      <c r="B21" s="105"/>
      <c r="C21" s="105"/>
      <c r="D21" s="105"/>
      <c r="E21" s="105"/>
      <c r="F21" s="105"/>
      <c r="G21" s="105"/>
      <c r="H21" s="105"/>
      <c r="I21" s="105"/>
    </row>
    <row r="22" spans="1:9">
      <c r="A22" s="105"/>
      <c r="B22" s="105"/>
      <c r="C22" s="105"/>
      <c r="D22" s="105"/>
      <c r="E22" s="105"/>
      <c r="F22" s="105"/>
      <c r="G22" s="105"/>
      <c r="H22" s="105"/>
      <c r="I22" s="105"/>
    </row>
    <row r="23" spans="1:9">
      <c r="A23" s="105"/>
      <c r="B23" s="105"/>
      <c r="C23" s="105"/>
      <c r="D23" s="105"/>
      <c r="E23" s="105"/>
      <c r="F23" s="105"/>
      <c r="G23" s="105"/>
      <c r="H23" s="105"/>
      <c r="I23" s="105"/>
    </row>
    <row r="24" spans="1:9">
      <c r="A24" s="105"/>
      <c r="B24" s="105"/>
      <c r="C24" s="105"/>
      <c r="D24" s="105"/>
      <c r="E24" s="105"/>
      <c r="F24" s="105"/>
      <c r="G24" s="105"/>
      <c r="H24" s="105"/>
      <c r="I24" s="105"/>
    </row>
    <row r="25" spans="1:9">
      <c r="A25" s="105"/>
      <c r="B25" s="105"/>
      <c r="C25" s="105"/>
      <c r="D25" s="105"/>
      <c r="E25" s="105"/>
      <c r="F25" s="105"/>
      <c r="G25" s="105"/>
      <c r="H25" s="105"/>
      <c r="I25" s="105"/>
    </row>
    <row r="26" spans="1:9">
      <c r="A26" s="105"/>
      <c r="B26" s="105"/>
      <c r="C26" s="105"/>
      <c r="D26" s="105"/>
      <c r="E26" s="105"/>
      <c r="F26" s="105"/>
      <c r="G26" s="105"/>
      <c r="H26" s="105"/>
      <c r="I26" s="105"/>
    </row>
    <row r="27" spans="1:9">
      <c r="A27" s="105"/>
      <c r="B27" s="105"/>
      <c r="C27" s="105"/>
      <c r="D27" s="105"/>
      <c r="E27" s="105"/>
      <c r="F27" s="105"/>
      <c r="G27" s="105"/>
      <c r="H27" s="105"/>
      <c r="I27" s="105"/>
    </row>
    <row r="28" spans="1:9">
      <c r="A28" s="105"/>
      <c r="B28" s="105"/>
      <c r="C28" s="105"/>
      <c r="D28" s="105"/>
      <c r="E28" s="105"/>
      <c r="F28" s="105"/>
      <c r="G28" s="105"/>
      <c r="H28" s="105"/>
      <c r="I28" s="105"/>
    </row>
    <row r="29" spans="1:9">
      <c r="A29" s="105"/>
      <c r="B29" s="105"/>
      <c r="C29" s="105"/>
      <c r="D29" s="105"/>
      <c r="E29" s="105"/>
      <c r="F29" s="105"/>
      <c r="G29" s="105"/>
      <c r="H29" s="105"/>
      <c r="I29" s="105"/>
    </row>
    <row r="30" spans="1:9">
      <c r="A30" s="105"/>
      <c r="B30" s="105"/>
      <c r="C30" s="105"/>
      <c r="D30" s="105"/>
      <c r="E30" s="105"/>
      <c r="F30" s="105"/>
      <c r="G30" s="105"/>
      <c r="H30" s="105"/>
      <c r="I30" s="105"/>
    </row>
    <row r="31" spans="1:9">
      <c r="A31" s="105"/>
      <c r="B31" s="105"/>
      <c r="C31" s="105"/>
      <c r="D31" s="105"/>
      <c r="E31" s="105"/>
      <c r="F31" s="105"/>
      <c r="G31" s="105"/>
      <c r="H31" s="105"/>
      <c r="I31" s="105"/>
    </row>
    <row r="32" spans="1:9">
      <c r="A32" s="105"/>
      <c r="B32" s="105"/>
      <c r="C32" s="105"/>
      <c r="D32" s="105"/>
      <c r="E32" s="105"/>
      <c r="F32" s="105"/>
      <c r="G32" s="105"/>
      <c r="H32" s="105"/>
      <c r="I32" s="105"/>
    </row>
    <row r="33" spans="1:9">
      <c r="A33" s="105"/>
      <c r="B33" s="105"/>
      <c r="C33" s="105"/>
      <c r="D33" s="105"/>
      <c r="E33" s="105"/>
      <c r="F33" s="105"/>
      <c r="G33" s="105"/>
      <c r="H33" s="105"/>
      <c r="I33" s="105"/>
    </row>
    <row r="34" spans="1:9">
      <c r="A34" s="105"/>
      <c r="B34" s="105"/>
      <c r="C34" s="105"/>
      <c r="D34" s="105"/>
      <c r="E34" s="105"/>
      <c r="F34" s="105"/>
      <c r="G34" s="105"/>
      <c r="H34" s="105"/>
      <c r="I34" s="105"/>
    </row>
    <row r="35" spans="1:9">
      <c r="A35" s="105"/>
      <c r="B35" s="105"/>
      <c r="C35" s="105"/>
      <c r="D35" s="105"/>
      <c r="E35" s="105"/>
      <c r="F35" s="105"/>
      <c r="G35" s="105"/>
      <c r="H35" s="105"/>
      <c r="I35" s="105"/>
    </row>
    <row r="36" spans="1:9">
      <c r="A36" s="105"/>
      <c r="B36" s="105"/>
      <c r="C36" s="105"/>
      <c r="D36" s="105"/>
      <c r="E36" s="105"/>
      <c r="F36" s="105"/>
      <c r="G36" s="105"/>
      <c r="H36" s="105"/>
      <c r="I36" s="105"/>
    </row>
    <row r="37" spans="1:9">
      <c r="A37" s="105"/>
      <c r="B37" s="105"/>
      <c r="C37" s="105"/>
      <c r="D37" s="105"/>
      <c r="E37" s="105"/>
      <c r="F37" s="105"/>
      <c r="G37" s="105"/>
      <c r="H37" s="105"/>
      <c r="I37" s="105"/>
    </row>
    <row r="38" spans="1:9">
      <c r="A38" s="105"/>
      <c r="B38" s="105"/>
      <c r="C38" s="105"/>
      <c r="D38" s="105"/>
      <c r="E38" s="105"/>
      <c r="F38" s="105"/>
      <c r="G38" s="105"/>
      <c r="H38" s="105"/>
      <c r="I38" s="105"/>
    </row>
    <row r="39" spans="1:9">
      <c r="A39" s="105"/>
      <c r="B39" s="105"/>
      <c r="C39" s="105"/>
      <c r="D39" s="105"/>
      <c r="E39" s="105"/>
      <c r="F39" s="105"/>
      <c r="G39" s="105"/>
      <c r="H39" s="105"/>
      <c r="I39" s="105"/>
    </row>
    <row r="40" spans="1:9">
      <c r="A40" s="105"/>
      <c r="B40" s="105"/>
      <c r="C40" s="105"/>
      <c r="D40" s="105"/>
      <c r="E40" s="105"/>
      <c r="F40" s="105"/>
      <c r="G40" s="105"/>
      <c r="H40" s="105"/>
      <c r="I40" s="105"/>
    </row>
  </sheetData>
  <sheetProtection selectLockedCells="1" selectUnlockedCells="1"/>
  <phoneticPr fontId="59" type="noConversion"/>
  <pageMargins left="0.70866141732283472" right="0.70866141732283472" top="0.98425196850393704" bottom="0.98425196850393704" header="0.31496062992125984" footer="0.31496062992125984"/>
  <pageSetup paperSize="9" scale="66" orientation="portrait" verticalDpi="0" r:id="rId1"/>
  <headerFooter>
    <oddHeader>&amp;L&amp;"+,Bold"&amp;13Tools for Demographic Estimation&amp;R&amp;"+,Bold"&amp;13Orphanhood before &amp;&amp; since 1st marriage</oddHeader>
    <oddFooter>&amp;L&amp;"+,Regular"&amp;12&amp;F&amp;R&amp;"+,Regular"&amp;12&amp;D  &amp;T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Introduction</vt:lpstr>
      <vt:lpstr>Model data</vt:lpstr>
      <vt:lpstr>Maternal orphanhood</vt:lpstr>
      <vt:lpstr>Paternal orphanhood</vt:lpstr>
      <vt:lpstr>Charts</vt:lpstr>
      <vt:lpstr>Date_of_survey</vt:lpstr>
      <vt:lpstr>MBAR</vt:lpstr>
      <vt:lpstr>MBAR_m</vt:lpstr>
      <vt:lpstr>Model_LTs</vt:lpstr>
      <vt:lpstr>SMAM</vt:lpstr>
      <vt:lpstr>'Maternal orphanhood'!TABLE</vt:lpstr>
      <vt:lpstr>'Maternal orphanhood'!TABLE_2</vt:lpstr>
      <vt:lpstr>'Maternal orphanhood'!TABLE_3</vt:lpstr>
      <vt:lpstr>'Maternal orphanhood'!TABLE_4</vt:lpstr>
    </vt:vector>
  </TitlesOfParts>
  <Company>London School of Hygiene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Cairo Demographic Center</dc:title>
  <dc:creator>Ian Timaeus</dc:creator>
  <cp:lastModifiedBy>Danan Gu</cp:lastModifiedBy>
  <cp:lastPrinted>2011-11-30T19:06:40Z</cp:lastPrinted>
  <dcterms:created xsi:type="dcterms:W3CDTF">1998-09-28T19:19:52Z</dcterms:created>
  <dcterms:modified xsi:type="dcterms:W3CDTF">2021-11-16T01:14:14Z</dcterms:modified>
</cp:coreProperties>
</file>