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omments3.xml" ContentType="application/vnd.openxmlformats-officedocument.spreadsheetml.comments+xml"/>
  <Override PartName="/xl/charts/chart3.xml" ContentType="application/vnd.openxmlformats-officedocument.drawingml.chart+xml"/>
  <Override PartName="/xl/charts/chart4.xml" ContentType="application/vnd.openxmlformats-officedocument.drawingml.chart+xml"/>
  <Override PartName="/xl/drawings/drawing3.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431"/>
  <workbookPr defaultThemeVersion="124226"/>
  <mc:AlternateContent xmlns:mc="http://schemas.openxmlformats.org/markup-compatibility/2006">
    <mc:Choice Requires="x15">
      <x15ac:absPath xmlns:x15ac="http://schemas.microsoft.com/office/spreadsheetml/2010/11/ac" url="D:\IUSSP\2015\Final\training\_Excel\"/>
    </mc:Choice>
  </mc:AlternateContent>
  <bookViews>
    <workbookView xWindow="1092" yWindow="0" windowWidth="18888" windowHeight="7620" activeTab="4"/>
  </bookViews>
  <sheets>
    <sheet name="Introduction" sheetId="4" r:id="rId1"/>
    <sheet name="Model data" sheetId="5" r:id="rId2"/>
    <sheet name="Method" sheetId="1" r:id="rId3"/>
    <sheet name="Mortality rates" sheetId="6" r:id="rId4"/>
    <sheet name="Graphs" sheetId="2" r:id="rId5"/>
  </sheets>
  <externalReferences>
    <externalReference r:id="rId6"/>
    <externalReference r:id="rId7"/>
    <externalReference r:id="rId8"/>
    <externalReference r:id="rId9"/>
  </externalReferences>
  <definedNames>
    <definedName name="__123Graph_A" hidden="1">'[1]Deadkids correction to CEB'!$Z$26:$Z$42</definedName>
    <definedName name="__123Graph_AADJUST" hidden="1">'[1]Deadkids correction to CEB'!$Z$26:$Z$42</definedName>
    <definedName name="__123Graph_ACOMPARE" hidden="1">'[1]Deadkids correction to CEB'!$X$3:$X$18</definedName>
    <definedName name="__123Graph_B" hidden="1">'[1]Deadkids correction to CEB'!$AC$26:$AC$42</definedName>
    <definedName name="__123Graph_BADJUST" hidden="1">'[1]Deadkids correction to CEB'!$AC$26:$AC$42</definedName>
    <definedName name="__123Graph_BCOMPARE" hidden="1">'[1]Deadkids correction to CEB'!$Y$3:$Y$19</definedName>
    <definedName name="__123Graph_C" hidden="1">'[1]Deadkids correction to CEB'!$AA$26:$AA$60</definedName>
    <definedName name="__123Graph_CADJUST" hidden="1">'[1]Deadkids correction to CEB'!$AA$26:$AA$60</definedName>
    <definedName name="__123Graph_CCOMPARE" hidden="1">'[1]Deadkids correction to CEB'!$X$3:$X$9</definedName>
    <definedName name="__123Graph_DCOMPARE" hidden="1">'[1]Deadkids correction to CEB'!$Y$3:$Y$9</definedName>
    <definedName name="__123Graph_F" hidden="1">'[1]Deadkids correction to CEB'!$AE$26:$AE$49</definedName>
    <definedName name="__123Graph_FADJUST" hidden="1">'[1]Deadkids correction to CEB'!$AE$26:$AE$49</definedName>
    <definedName name="__123Graph_LBL_A" hidden="1">'[1]Deadkids correction to CEB'!$AB$26:$AB$42</definedName>
    <definedName name="__123Graph_LBL_AADJUST" hidden="1">'[1]Deadkids correction to CEB'!$AB$26:$AB$42</definedName>
    <definedName name="__123Graph_LBL_ACOMPARE" hidden="1">'[1]Deadkids correction to CEB'!$V$3:$V$19</definedName>
    <definedName name="__123Graph_LBL_CCOMPARE" hidden="1">'[1]Deadkids correction to CEB'!$V$3:$V$9</definedName>
    <definedName name="__123Graph_LBL_F" hidden="1">'[1]Deadkids correction to CEB'!$AF$26:$AF$49</definedName>
    <definedName name="__123Graph_LBL_FADJUST" hidden="1">'[1]Deadkids correction to CEB'!$AF$26:$AF$49</definedName>
    <definedName name="__123Graph_X" hidden="1">'[1]Deadkids correction to CEB'!$Y$26:$Y$60</definedName>
    <definedName name="__123Graph_XADJUST" hidden="1">'[1]Deadkids correction to CEB'!$Y$26:$Y$60</definedName>
    <definedName name="__123Graph_XCOMPARE" hidden="1">'[1]Deadkids correction to CEB'!$W$3:$W$19</definedName>
    <definedName name="_Key1" localSheetId="1" hidden="1">#REF!</definedName>
    <definedName name="_Key1" localSheetId="3" hidden="1">#REF!</definedName>
    <definedName name="_Key1" hidden="1">#REF!</definedName>
    <definedName name="_Order1" hidden="1">255</definedName>
    <definedName name="_Sort" localSheetId="1" hidden="1">#REF!</definedName>
    <definedName name="_Sort" localSheetId="3" hidden="1">#REF!</definedName>
    <definedName name="_Sort" hidden="1">#REF!</definedName>
    <definedName name="ALPHAC" localSheetId="1">#REF!</definedName>
    <definedName name="ALPHAC" localSheetId="3">#REF!</definedName>
    <definedName name="ALPHAC">#REF!</definedName>
    <definedName name="ALPHAF" localSheetId="1">#REF!</definedName>
    <definedName name="ALPHAF" localSheetId="3">#REF!</definedName>
    <definedName name="ALPHAF">#REF!</definedName>
    <definedName name="ALPHAP" localSheetId="3">#REF!</definedName>
    <definedName name="ALPHAP">#REF!</definedName>
    <definedName name="BETAC" localSheetId="3">#REF!</definedName>
    <definedName name="BETAC">#REF!</definedName>
    <definedName name="BETAF" localSheetId="3">#REF!</definedName>
    <definedName name="BETAF">#REF!</definedName>
    <definedName name="BETAP" localSheetId="3">#REF!</definedName>
    <definedName name="BETAP">#REF!</definedName>
    <definedName name="CCONST" localSheetId="3">#REF!</definedName>
    <definedName name="CCONST">#REF!</definedName>
    <definedName name="CINTERCEPT" localSheetId="3">#REF!</definedName>
    <definedName name="CINTERCEPT">#REF!</definedName>
    <definedName name="CSLOP" localSheetId="3">#REF!</definedName>
    <definedName name="CSLOP">#REF!</definedName>
    <definedName name="Date_of_survey" localSheetId="1">'[2]Maternal orphanhood'!$S$1</definedName>
    <definedName name="Date_of_survey">'[3]Maternal orphanhood'!$T$1</definedName>
    <definedName name="FCONST" localSheetId="1">#REF!</definedName>
    <definedName name="FCONST" localSheetId="3">#REF!</definedName>
    <definedName name="FCONST">#REF!</definedName>
    <definedName name="FINTERCEPT" localSheetId="3">#REF!</definedName>
    <definedName name="FINTERCEPT">#REF!</definedName>
    <definedName name="FPTS" localSheetId="3">#REF!</definedName>
    <definedName name="FPTS">#REF!</definedName>
    <definedName name="FSLOP" localSheetId="3">#REF!</definedName>
    <definedName name="FSLOP">#REF!</definedName>
    <definedName name="graph1" hidden="1">[4]GOMP!$Z$26:$Z$42</definedName>
    <definedName name="graph10" hidden="1">[4]GOMP!$Y$3:$Y$9</definedName>
    <definedName name="graph11" hidden="1">[4]GOMP!$AE$26:$AE$49</definedName>
    <definedName name="graph12" hidden="1">[4]GOMP!$AE$26:$AE$49</definedName>
    <definedName name="graph13" hidden="1">[4]GOMP!$AB$26:$AB$42</definedName>
    <definedName name="graph14" hidden="1">[4]GOMP!$AB$26:$AB$42</definedName>
    <definedName name="graph15" hidden="1">[4]GOMP!$V$3:$V$19</definedName>
    <definedName name="graph16" hidden="1">[4]GOMP!$V$3:$V$9</definedName>
    <definedName name="graph17" hidden="1">[4]GOMP!$AF$26:$AF$49</definedName>
    <definedName name="graph18" hidden="1">[4]GOMP!$AF$26:$AF$49</definedName>
    <definedName name="graph19" hidden="1">[4]GOMP!$Y$26:$Y$60</definedName>
    <definedName name="graph1a" localSheetId="1" hidden="1">#REF!</definedName>
    <definedName name="graph1a" localSheetId="3" hidden="1">#REF!</definedName>
    <definedName name="graph1a" hidden="1">#REF!</definedName>
    <definedName name="graph2" hidden="1">[4]GOMP!$Z$26:$Z$42</definedName>
    <definedName name="graph20" hidden="1">[4]GOMP!$Y$26:$Y$60</definedName>
    <definedName name="graph21" hidden="1">[4]GOMP!$W$3:$W$19</definedName>
    <definedName name="graph3" hidden="1">[4]GOMP!$X$3:$X$18</definedName>
    <definedName name="graph4" hidden="1">[4]GOMP!$AC$26:$AC$42</definedName>
    <definedName name="graph5" hidden="1">[4]GOMP!$AC$26:$AC$42</definedName>
    <definedName name="graph6" hidden="1">[4]GOMP!$Y$3:$Y$19</definedName>
    <definedName name="graph7" hidden="1">[4]GOMP!$AA$26:$AA$60</definedName>
    <definedName name="graph8" hidden="1">[4]GOMP!$AA$26:$AA$60</definedName>
    <definedName name="graph9" hidden="1">[4]GOMP!$X$3:$X$9</definedName>
    <definedName name="HALF" localSheetId="1">#REF!</definedName>
    <definedName name="HALF" localSheetId="3">#REF!</definedName>
    <definedName name="HALF">#REF!</definedName>
    <definedName name="IMPORT" localSheetId="1">#REF!</definedName>
    <definedName name="IMPORT" localSheetId="3">#REF!</definedName>
    <definedName name="IMPORT">#REF!</definedName>
    <definedName name="INPUT" localSheetId="1">#REF!</definedName>
    <definedName name="INPUT" localSheetId="3">#REF!</definedName>
    <definedName name="INPUT">#REF!</definedName>
    <definedName name="LEGB" localSheetId="3">#REF!</definedName>
    <definedName name="LEGB">#REF!</definedName>
    <definedName name="LEGC" localSheetId="3">#REF!</definedName>
    <definedName name="LEGC">#REF!</definedName>
    <definedName name="LEVELC" localSheetId="3">#REF!</definedName>
    <definedName name="LEVELC">#REF!</definedName>
    <definedName name="LEVELF" localSheetId="3">#REF!</definedName>
    <definedName name="LEVELF">#REF!</definedName>
    <definedName name="LEVELP" localSheetId="3">#REF!</definedName>
    <definedName name="LEVELP">#REF!</definedName>
    <definedName name="MAXF" localSheetId="3">#REF!</definedName>
    <definedName name="MAXF">#REF!</definedName>
    <definedName name="MAXP" localSheetId="3">#REF!</definedName>
    <definedName name="MAXP">#REF!</definedName>
    <definedName name="MBAR" localSheetId="1">'[2]Maternal orphanhood'!$D$57</definedName>
    <definedName name="MBAR">'[3]Maternal orphanhood'!$D$43</definedName>
    <definedName name="MBAR_m" localSheetId="1">'[2]Paternal orphanhood'!$C$43</definedName>
    <definedName name="MBAR_m">'[3]Paternal orphanhood'!$C$31</definedName>
    <definedName name="MINF" localSheetId="1">#REF!</definedName>
    <definedName name="MINF" localSheetId="3">#REF!</definedName>
    <definedName name="MINF">#REF!</definedName>
    <definedName name="MINP" localSheetId="3">#REF!</definedName>
    <definedName name="MINP">#REF!</definedName>
    <definedName name="NC" localSheetId="3">#REF!</definedName>
    <definedName name="NC">#REF!</definedName>
    <definedName name="NF" localSheetId="3">#REF!</definedName>
    <definedName name="NF">#REF!</definedName>
    <definedName name="NONE" localSheetId="3">#REF!</definedName>
    <definedName name="NONE">#REF!</definedName>
    <definedName name="NP" localSheetId="3">#REF!</definedName>
    <definedName name="NP">#REF!</definedName>
    <definedName name="ONE_AHALF" localSheetId="3">#REF!</definedName>
    <definedName name="ONE_AHALF">#REF!</definedName>
    <definedName name="PCONST" localSheetId="3">#REF!</definedName>
    <definedName name="PCONST">#REF!</definedName>
    <definedName name="PINTERCEPT" localSheetId="3">#REF!</definedName>
    <definedName name="PINTERCEPT">#REF!</definedName>
    <definedName name="PPTS" localSheetId="3">#REF!</definedName>
    <definedName name="PPTS">#REF!</definedName>
    <definedName name="PSLOP" localSheetId="3">#REF!</definedName>
    <definedName name="PSLOP">#REF!</definedName>
    <definedName name="SHIFT" localSheetId="3">#REF!</definedName>
    <definedName name="SHIFT">#REF!</definedName>
    <definedName name="solver_adj" localSheetId="2" hidden="1">Method!#REF!</definedName>
    <definedName name="solver_adj" localSheetId="3" hidden="1">'Mortality rates'!#REF!</definedName>
    <definedName name="solver_cvg" localSheetId="2" hidden="1">0.0001</definedName>
    <definedName name="solver_cvg" localSheetId="3" hidden="1">0.0001</definedName>
    <definedName name="solver_drv" localSheetId="2" hidden="1">1</definedName>
    <definedName name="solver_drv" localSheetId="3" hidden="1">1</definedName>
    <definedName name="solver_est" localSheetId="2" hidden="1">1</definedName>
    <definedName name="solver_est" localSheetId="3" hidden="1">1</definedName>
    <definedName name="solver_itr" localSheetId="2" hidden="1">100</definedName>
    <definedName name="solver_itr" localSheetId="3" hidden="1">100</definedName>
    <definedName name="solver_lin" localSheetId="2" hidden="1">2</definedName>
    <definedName name="solver_lin" localSheetId="3" hidden="1">2</definedName>
    <definedName name="solver_neg" localSheetId="2" hidden="1">2</definedName>
    <definedName name="solver_neg" localSheetId="3" hidden="1">2</definedName>
    <definedName name="solver_num" localSheetId="2" hidden="1">0</definedName>
    <definedName name="solver_num" localSheetId="3" hidden="1">0</definedName>
    <definedName name="solver_nwt" localSheetId="2" hidden="1">1</definedName>
    <definedName name="solver_nwt" localSheetId="3" hidden="1">1</definedName>
    <definedName name="solver_opt" localSheetId="2" hidden="1">Method!#REF!</definedName>
    <definedName name="solver_opt" localSheetId="3" hidden="1">'Mortality rates'!#REF!</definedName>
    <definedName name="solver_pre" localSheetId="2" hidden="1">0.000001</definedName>
    <definedName name="solver_pre" localSheetId="3" hidden="1">0.000001</definedName>
    <definedName name="solver_scl" localSheetId="2" hidden="1">2</definedName>
    <definedName name="solver_scl" localSheetId="3" hidden="1">2</definedName>
    <definedName name="solver_sho" localSheetId="2" hidden="1">2</definedName>
    <definedName name="solver_sho" localSheetId="3" hidden="1">2</definedName>
    <definedName name="solver_tim" localSheetId="2" hidden="1">100</definedName>
    <definedName name="solver_tim" localSheetId="3" hidden="1">100</definedName>
    <definedName name="solver_tol" localSheetId="2" hidden="1">0.05</definedName>
    <definedName name="solver_tol" localSheetId="3" hidden="1">0.05</definedName>
    <definedName name="solver_typ" localSheetId="2" hidden="1">2</definedName>
    <definedName name="solver_typ" localSheetId="3" hidden="1">2</definedName>
    <definedName name="solver_val" localSheetId="2" hidden="1">0</definedName>
    <definedName name="solver_val" localSheetId="3" hidden="1">0</definedName>
    <definedName name="TITLE" localSheetId="1">#REF!</definedName>
    <definedName name="TITLE" localSheetId="3">#REF!</definedName>
    <definedName name="TITLE">#REF!</definedName>
    <definedName name="WHICH" localSheetId="1">#REF!</definedName>
    <definedName name="WHICH" localSheetId="3">#REF!</definedName>
    <definedName name="WHICH">#REF!</definedName>
    <definedName name="WHOLE" localSheetId="1">#REF!</definedName>
    <definedName name="WHOLE" localSheetId="3">#REF!</definedName>
    <definedName name="WHOLE">#REF!</definedName>
    <definedName name="XC" localSheetId="3">#REF!</definedName>
    <definedName name="XC">#REF!</definedName>
    <definedName name="XF" localSheetId="3">#REF!</definedName>
    <definedName name="XF">#REF!</definedName>
    <definedName name="XP" localSheetId="3">#REF!</definedName>
    <definedName name="XP">#REF!</definedName>
    <definedName name="XXC" localSheetId="3">#REF!</definedName>
    <definedName name="XXC">#REF!</definedName>
    <definedName name="XXF" localSheetId="3">#REF!</definedName>
    <definedName name="XXF">#REF!</definedName>
    <definedName name="XXP" localSheetId="3">#REF!</definedName>
    <definedName name="XXP">#REF!</definedName>
    <definedName name="XYC" localSheetId="3">#REF!</definedName>
    <definedName name="XYC">#REF!</definedName>
    <definedName name="XYF" localSheetId="3">#REF!</definedName>
    <definedName name="XYF">#REF!</definedName>
    <definedName name="XYP" localSheetId="3">#REF!</definedName>
    <definedName name="XYP">#REF!</definedName>
    <definedName name="YC" localSheetId="3">#REF!</definedName>
    <definedName name="YC">#REF!</definedName>
    <definedName name="YF" localSheetId="3">#REF!</definedName>
    <definedName name="YF">#REF!</definedName>
    <definedName name="YP" localSheetId="3">#REF!</definedName>
    <definedName name="YP">#REF!</definedName>
    <definedName name="YYC" localSheetId="3">#REF!</definedName>
    <definedName name="YYC">#REF!</definedName>
    <definedName name="YYF" localSheetId="3">#REF!</definedName>
    <definedName name="YYF">#REF!</definedName>
    <definedName name="YYP" localSheetId="3">#REF!</definedName>
    <definedName name="YYP">#REF!</definedName>
  </definedNames>
  <calcPr calcId="171027" iterate="1" iterateCount="1000" calcOnSave="0"/>
</workbook>
</file>

<file path=xl/calcChain.xml><?xml version="1.0" encoding="utf-8"?>
<calcChain xmlns="http://schemas.openxmlformats.org/spreadsheetml/2006/main">
  <c r="B23" i="5" l="1"/>
  <c r="K5" i="6" l="1"/>
  <c r="B42" i="5" l="1"/>
  <c r="B41" i="5"/>
  <c r="B40" i="5"/>
  <c r="B39" i="5"/>
  <c r="B38" i="5"/>
  <c r="B37" i="5"/>
  <c r="B36" i="5"/>
  <c r="B35" i="5"/>
  <c r="B34" i="5"/>
  <c r="B33" i="5"/>
  <c r="B32" i="5"/>
  <c r="B31" i="5"/>
  <c r="B30" i="5"/>
  <c r="B29" i="5"/>
  <c r="B28" i="5"/>
  <c r="B27" i="5"/>
  <c r="B26" i="5"/>
  <c r="G2" i="1" l="1"/>
  <c r="H24" i="6" l="1"/>
  <c r="A22" i="1" l="1"/>
  <c r="A23" i="1"/>
  <c r="A24" i="1"/>
  <c r="A21" i="1"/>
  <c r="B3" i="6"/>
  <c r="B1" i="6"/>
  <c r="R6" i="6"/>
  <c r="Q6" i="6"/>
  <c r="P6" i="6"/>
  <c r="O6" i="6"/>
  <c r="N6" i="6"/>
  <c r="M6" i="6"/>
  <c r="L6" i="6"/>
  <c r="K6" i="6"/>
  <c r="J6" i="6"/>
  <c r="I6" i="6"/>
  <c r="H6" i="6"/>
  <c r="G6" i="6"/>
  <c r="F6" i="6"/>
  <c r="E6" i="6"/>
  <c r="D6" i="6"/>
  <c r="B6" i="6"/>
  <c r="A6" i="6"/>
  <c r="G3" i="1"/>
  <c r="L9" i="1" l="1"/>
  <c r="L11" i="1"/>
  <c r="C3" i="1"/>
  <c r="C1" i="1"/>
  <c r="C42" i="5" l="1"/>
  <c r="C41" i="5"/>
  <c r="C40" i="5"/>
  <c r="C39" i="5"/>
  <c r="C38" i="5"/>
  <c r="C37" i="5"/>
  <c r="C36" i="5"/>
  <c r="C35" i="5"/>
  <c r="C34" i="5"/>
  <c r="C33" i="5"/>
  <c r="C32" i="5"/>
  <c r="C31" i="5"/>
  <c r="C30" i="5"/>
  <c r="C29" i="5"/>
  <c r="C28" i="5"/>
  <c r="C27" i="5"/>
  <c r="C26" i="5"/>
  <c r="D26" i="5" s="1"/>
  <c r="K8" i="6" s="1"/>
  <c r="D41" i="5" l="1"/>
  <c r="K23" i="6" s="1"/>
  <c r="L23" i="6" s="1"/>
  <c r="D35" i="5"/>
  <c r="K17" i="6" s="1"/>
  <c r="L17" i="6" s="1"/>
  <c r="D28" i="5"/>
  <c r="K10" i="6" s="1"/>
  <c r="L10" i="6" s="1"/>
  <c r="D38" i="5"/>
  <c r="K20" i="6" s="1"/>
  <c r="L20" i="6" s="1"/>
  <c r="D29" i="5"/>
  <c r="K11" i="6" s="1"/>
  <c r="L11" i="6" s="1"/>
  <c r="D32" i="5"/>
  <c r="K14" i="6" s="1"/>
  <c r="L14" i="6" s="1"/>
  <c r="D39" i="5"/>
  <c r="K21" i="6" s="1"/>
  <c r="L21" i="6" s="1"/>
  <c r="D42" i="5"/>
  <c r="K24" i="6" s="1"/>
  <c r="L24" i="6" s="1"/>
  <c r="D27" i="5"/>
  <c r="K9" i="6" s="1"/>
  <c r="L9" i="6" s="1"/>
  <c r="D30" i="5"/>
  <c r="K12" i="6" s="1"/>
  <c r="L12" i="6" s="1"/>
  <c r="D33" i="5"/>
  <c r="K15" i="6" s="1"/>
  <c r="L15" i="6" s="1"/>
  <c r="D36" i="5"/>
  <c r="K18" i="6" s="1"/>
  <c r="L18" i="6" s="1"/>
  <c r="D31" i="5"/>
  <c r="K13" i="6" s="1"/>
  <c r="L13" i="6" s="1"/>
  <c r="D34" i="5"/>
  <c r="K16" i="6" s="1"/>
  <c r="L16" i="6" s="1"/>
  <c r="D37" i="5"/>
  <c r="K19" i="6" s="1"/>
  <c r="L19" i="6" s="1"/>
  <c r="D40" i="5"/>
  <c r="K22" i="6" s="1"/>
  <c r="L22" i="6" s="1"/>
  <c r="K25" i="6" l="1"/>
  <c r="N8" i="1"/>
  <c r="J25" i="1"/>
  <c r="J24" i="1" s="1"/>
  <c r="J23" i="1" s="1"/>
  <c r="J22" i="1" s="1"/>
  <c r="J21" i="1" s="1"/>
  <c r="J20" i="1" s="1"/>
  <c r="J19" i="1" s="1"/>
  <c r="J18" i="1" s="1"/>
  <c r="J17" i="1" s="1"/>
  <c r="J16" i="1" s="1"/>
  <c r="J15" i="1" s="1"/>
  <c r="J14" i="1" s="1"/>
  <c r="J13" i="1" s="1"/>
  <c r="J12" i="1" s="1"/>
  <c r="J11" i="1" s="1"/>
  <c r="J10" i="1" s="1"/>
  <c r="J9" i="1" s="1"/>
  <c r="J8" i="1" s="1"/>
  <c r="J7" i="1"/>
  <c r="K26" i="6" l="1"/>
  <c r="L25" i="6"/>
  <c r="K27" i="6" l="1"/>
  <c r="L27" i="6" s="1"/>
  <c r="L26" i="6"/>
  <c r="I25" i="1"/>
  <c r="I24" i="1" s="1"/>
  <c r="I23" i="1" s="1"/>
  <c r="I22" i="1" s="1"/>
  <c r="I21" i="1" s="1"/>
  <c r="I20" i="1" l="1"/>
  <c r="I19" i="1" s="1"/>
  <c r="I18" i="1" s="1"/>
  <c r="I17" i="1" s="1"/>
  <c r="I16" i="1" s="1"/>
  <c r="I15" i="1" s="1"/>
  <c r="I14" i="1" s="1"/>
  <c r="I13" i="1" s="1"/>
  <c r="I12" i="1" s="1"/>
  <c r="I11" i="1" s="1"/>
  <c r="I10" i="1" s="1"/>
  <c r="I9" i="1" s="1"/>
  <c r="I8" i="1" s="1"/>
  <c r="F27" i="1" l="1"/>
  <c r="C7" i="1"/>
  <c r="D7" i="1"/>
  <c r="E7" i="1"/>
  <c r="F7" i="1"/>
  <c r="H25" i="1" l="1"/>
  <c r="H24" i="1" s="1"/>
  <c r="H23" i="1" s="1"/>
  <c r="H22" i="1" s="1"/>
  <c r="H21" i="1" s="1"/>
  <c r="G25" i="1"/>
  <c r="G24" i="1" s="1"/>
  <c r="G23" i="1" s="1"/>
  <c r="G22" i="1" s="1"/>
  <c r="G21" i="1" s="1"/>
  <c r="B24" i="1"/>
  <c r="B23" i="1"/>
  <c r="B22" i="1"/>
  <c r="B21" i="1"/>
  <c r="A25" i="1"/>
  <c r="O3" i="1" l="1"/>
  <c r="B7" i="1"/>
  <c r="G7" i="1"/>
  <c r="H7" i="1"/>
  <c r="I7" i="1"/>
  <c r="K7" i="1"/>
  <c r="L7" i="1"/>
  <c r="M7" i="1"/>
  <c r="N7" i="1"/>
  <c r="O7" i="1"/>
  <c r="P7" i="1"/>
  <c r="Q7" i="1"/>
  <c r="R7" i="1"/>
  <c r="A7" i="1"/>
  <c r="D27" i="1" l="1"/>
  <c r="C27" i="1" l="1"/>
  <c r="E27" i="1"/>
  <c r="G20" i="1"/>
  <c r="G19" i="1" s="1"/>
  <c r="G18" i="1" s="1"/>
  <c r="G17" i="1" s="1"/>
  <c r="G16" i="1" s="1"/>
  <c r="G15" i="1" s="1"/>
  <c r="G14" i="1" s="1"/>
  <c r="G13" i="1" s="1"/>
  <c r="G12" i="1" s="1"/>
  <c r="G11" i="1" l="1"/>
  <c r="G10" i="1" s="1"/>
  <c r="G9" i="1" s="1"/>
  <c r="G8" i="1" s="1"/>
  <c r="L23" i="1"/>
  <c r="L21" i="1"/>
  <c r="L22" i="1"/>
  <c r="L24" i="1"/>
  <c r="L20" i="1"/>
  <c r="L19" i="1"/>
  <c r="L18" i="1"/>
  <c r="L17" i="1"/>
  <c r="L16" i="1"/>
  <c r="L15" i="1"/>
  <c r="K25" i="1"/>
  <c r="K24" i="1"/>
  <c r="K23" i="1"/>
  <c r="L10" i="1"/>
  <c r="L14" i="1"/>
  <c r="L13" i="1"/>
  <c r="L12" i="1"/>
  <c r="K22" i="1"/>
  <c r="N24" i="1" l="1"/>
  <c r="N22" i="1"/>
  <c r="N23" i="1"/>
  <c r="O23" i="1"/>
  <c r="M24" i="1"/>
  <c r="O24" i="1"/>
  <c r="O22" i="1"/>
  <c r="M23" i="1"/>
  <c r="M22" i="1"/>
  <c r="P23" i="1" l="1"/>
  <c r="P24" i="1"/>
  <c r="P22" i="1"/>
  <c r="H20" i="1"/>
  <c r="K21" i="1"/>
  <c r="N21" i="1" s="1"/>
  <c r="M21" i="1" l="1"/>
  <c r="P21" i="1" s="1"/>
  <c r="O21" i="1"/>
  <c r="H19" i="1"/>
  <c r="K20" i="1"/>
  <c r="N20" i="1" s="1"/>
  <c r="M20" i="1" l="1"/>
  <c r="P20" i="1" s="1"/>
  <c r="O20" i="1"/>
  <c r="H18" i="1"/>
  <c r="K19" i="1"/>
  <c r="N19" i="1" s="1"/>
  <c r="M19" i="1" l="1"/>
  <c r="O19" i="1"/>
  <c r="H17" i="1"/>
  <c r="K18" i="1"/>
  <c r="N18" i="1" s="1"/>
  <c r="M18" i="1" l="1"/>
  <c r="O18" i="1"/>
  <c r="P19" i="1"/>
  <c r="H16" i="1"/>
  <c r="K17" i="1"/>
  <c r="N17" i="1" s="1"/>
  <c r="M17" i="1" l="1"/>
  <c r="O17" i="1"/>
  <c r="P18" i="1"/>
  <c r="H15" i="1"/>
  <c r="K16" i="1"/>
  <c r="N16" i="1" s="1"/>
  <c r="M16" i="1" l="1"/>
  <c r="O16" i="1"/>
  <c r="P17" i="1"/>
  <c r="H14" i="1"/>
  <c r="K15" i="1"/>
  <c r="N15" i="1" s="1"/>
  <c r="M15" i="1" l="1"/>
  <c r="O15" i="1"/>
  <c r="P16" i="1"/>
  <c r="H13" i="1"/>
  <c r="K14" i="1"/>
  <c r="N14" i="1" s="1"/>
  <c r="M14" i="1" l="1"/>
  <c r="P14" i="1" s="1"/>
  <c r="O14" i="1"/>
  <c r="P15" i="1"/>
  <c r="H12" i="1"/>
  <c r="K12" i="1" s="1"/>
  <c r="M12" i="1" s="1"/>
  <c r="K13" i="1"/>
  <c r="N13" i="1" s="1"/>
  <c r="M13" i="1" l="1"/>
  <c r="P13" i="1" s="1"/>
  <c r="O13" i="1"/>
  <c r="H11" i="1"/>
  <c r="N12" i="1"/>
  <c r="O12" i="1" l="1"/>
  <c r="H10" i="1"/>
  <c r="K11" i="1"/>
  <c r="N11" i="1" s="1"/>
  <c r="M11" i="1" l="1"/>
  <c r="P11" i="1" s="1"/>
  <c r="O11" i="1"/>
  <c r="H9" i="1"/>
  <c r="K10" i="1"/>
  <c r="N10" i="1" s="1"/>
  <c r="P12" i="1"/>
  <c r="M10" i="1" l="1"/>
  <c r="P10" i="1" s="1"/>
  <c r="O10" i="1"/>
  <c r="H8" i="1"/>
  <c r="K8" i="1" s="1"/>
  <c r="K9" i="1"/>
  <c r="O9" i="1" l="1"/>
  <c r="M9" i="1"/>
  <c r="N9" i="1"/>
  <c r="P9" i="1" l="1"/>
  <c r="Q32" i="1"/>
  <c r="Q27" i="1" l="1"/>
  <c r="Q23" i="1" l="1"/>
  <c r="R23" i="1" s="1"/>
  <c r="Q15" i="1"/>
  <c r="R15" i="1" s="1"/>
  <c r="Q14" i="1"/>
  <c r="R14" i="1" s="1"/>
  <c r="Q20" i="1"/>
  <c r="R20" i="1" s="1"/>
  <c r="Q8" i="1"/>
  <c r="Q10" i="1"/>
  <c r="R10" i="1" s="1"/>
  <c r="Q22" i="1"/>
  <c r="R22" i="1" s="1"/>
  <c r="Q19" i="1"/>
  <c r="R19" i="1" s="1"/>
  <c r="Q12" i="1"/>
  <c r="R12" i="1" s="1"/>
  <c r="Q11" i="1"/>
  <c r="R11" i="1" s="1"/>
  <c r="Q17" i="1"/>
  <c r="R17" i="1" s="1"/>
  <c r="Q9" i="1"/>
  <c r="R9" i="1" s="1"/>
  <c r="Q24" i="1"/>
  <c r="R24" i="1" s="1"/>
  <c r="Q18" i="1"/>
  <c r="R18" i="1" s="1"/>
  <c r="Q28" i="1"/>
  <c r="Q29" i="1" s="1"/>
  <c r="Q16" i="1"/>
  <c r="R16" i="1" s="1"/>
  <c r="Q13" i="1"/>
  <c r="R13" i="1" s="1"/>
  <c r="Q21" i="1"/>
  <c r="R21" i="1" s="1"/>
  <c r="B9" i="6" l="1"/>
  <c r="B8" i="6"/>
  <c r="B23" i="6"/>
  <c r="B21" i="6"/>
  <c r="B24" i="6"/>
  <c r="B19" i="6"/>
  <c r="B13" i="6"/>
  <c r="B15" i="6"/>
  <c r="B17" i="6"/>
  <c r="B12" i="6"/>
  <c r="B18" i="6"/>
  <c r="B22" i="6"/>
  <c r="B16" i="6"/>
  <c r="B20" i="6"/>
  <c r="B11" i="6"/>
  <c r="B10" i="6"/>
  <c r="B14" i="6"/>
  <c r="Q30" i="1"/>
  <c r="C11" i="6" l="1"/>
  <c r="E11" i="6" s="1"/>
  <c r="C18" i="6"/>
  <c r="E18" i="6" s="1"/>
  <c r="C24" i="6"/>
  <c r="E24" i="6" s="1"/>
  <c r="A24" i="6" s="1"/>
  <c r="C21" i="6"/>
  <c r="E21" i="6" s="1"/>
  <c r="C16" i="6"/>
  <c r="E16" i="6" s="1"/>
  <c r="C14" i="6"/>
  <c r="E14" i="6" s="1"/>
  <c r="C15" i="6"/>
  <c r="E15" i="6" s="1"/>
  <c r="C22" i="6"/>
  <c r="E22" i="6" s="1"/>
  <c r="C8" i="6"/>
  <c r="C13" i="6"/>
  <c r="E13" i="6" s="1"/>
  <c r="C20" i="6"/>
  <c r="E20" i="6" s="1"/>
  <c r="C17" i="6"/>
  <c r="E17" i="6" s="1"/>
  <c r="C9" i="6"/>
  <c r="E9" i="6" s="1"/>
  <c r="C10" i="6"/>
  <c r="E10" i="6" s="1"/>
  <c r="C19" i="6"/>
  <c r="E19" i="6" s="1"/>
  <c r="C12" i="6"/>
  <c r="E12" i="6" s="1"/>
  <c r="C23" i="6"/>
  <c r="E23" i="6" s="1"/>
  <c r="Q31" i="1"/>
  <c r="Q33" i="1" s="1"/>
  <c r="B26" i="6"/>
  <c r="A20" i="6" l="1"/>
  <c r="A22" i="6"/>
  <c r="A21" i="6"/>
  <c r="D23" i="6"/>
  <c r="F23" i="6" s="1"/>
  <c r="D15" i="6"/>
  <c r="F15" i="6" s="1"/>
  <c r="H15" i="6" s="1"/>
  <c r="D24" i="6"/>
  <c r="D11" i="6"/>
  <c r="F11" i="6" s="1"/>
  <c r="H11" i="6" s="1"/>
  <c r="D12" i="6"/>
  <c r="F12" i="6" s="1"/>
  <c r="H12" i="6" s="1"/>
  <c r="D9" i="6"/>
  <c r="F9" i="6" s="1"/>
  <c r="H9" i="6" s="1"/>
  <c r="D22" i="6"/>
  <c r="F22" i="6" s="1"/>
  <c r="D21" i="6"/>
  <c r="D20" i="6"/>
  <c r="F20" i="6" s="1"/>
  <c r="D8" i="6"/>
  <c r="D16" i="6"/>
  <c r="F16" i="6" s="1"/>
  <c r="H16" i="6" s="1"/>
  <c r="D13" i="6"/>
  <c r="F13" i="6" s="1"/>
  <c r="H13" i="6" s="1"/>
  <c r="D14" i="6"/>
  <c r="F14" i="6" s="1"/>
  <c r="H14" i="6" s="1"/>
  <c r="D17" i="6"/>
  <c r="F17" i="6" s="1"/>
  <c r="H17" i="6" s="1"/>
  <c r="D19" i="6"/>
  <c r="F19" i="6" s="1"/>
  <c r="H19" i="6" s="1"/>
  <c r="D10" i="6"/>
  <c r="F10" i="6" s="1"/>
  <c r="H10" i="6" s="1"/>
  <c r="D18" i="6"/>
  <c r="F18" i="6" s="1"/>
  <c r="H18" i="6" s="1"/>
  <c r="A23" i="6"/>
  <c r="E8" i="6"/>
  <c r="C26" i="6"/>
  <c r="H22" i="6" l="1"/>
  <c r="H20" i="6"/>
  <c r="F24" i="6"/>
  <c r="H23" i="6"/>
  <c r="F21" i="6"/>
  <c r="H21" i="6" s="1"/>
  <c r="D26" i="6"/>
  <c r="F8" i="6"/>
  <c r="H8" i="6" s="1"/>
  <c r="I9" i="6" s="1"/>
  <c r="I10" i="6" l="1"/>
  <c r="J9" i="6"/>
  <c r="J10" i="6" l="1"/>
  <c r="I11" i="6"/>
  <c r="I12" i="6" l="1"/>
  <c r="J11" i="6"/>
  <c r="I13" i="6" l="1"/>
  <c r="J12" i="6"/>
  <c r="I14" i="6" l="1"/>
  <c r="J13" i="6"/>
  <c r="J14" i="6" l="1"/>
  <c r="I15" i="6"/>
  <c r="I16" i="6" l="1"/>
  <c r="J15" i="6"/>
  <c r="I17" i="6" l="1"/>
  <c r="J16" i="6"/>
  <c r="J17" i="6" l="1"/>
  <c r="I18" i="6"/>
  <c r="J18" i="6" l="1"/>
  <c r="I19" i="6"/>
  <c r="J19" i="6" l="1"/>
  <c r="I20" i="6"/>
  <c r="I21" i="6" l="1"/>
  <c r="J20" i="6"/>
  <c r="I22" i="6" l="1"/>
  <c r="J21" i="6"/>
  <c r="I23" i="6" l="1"/>
  <c r="J22" i="6"/>
  <c r="J23" i="6" l="1"/>
  <c r="I24" i="6"/>
  <c r="I25" i="6" l="1"/>
  <c r="J25" i="6" s="1"/>
  <c r="J24" i="6"/>
  <c r="N2" i="6"/>
  <c r="N3" i="6"/>
  <c r="M15" i="6"/>
  <c r="N15" i="6"/>
  <c r="M16" i="6"/>
  <c r="N16" i="6" s="1"/>
  <c r="Q16" i="6" s="1"/>
  <c r="M26" i="6"/>
  <c r="N26" i="6"/>
  <c r="M19" i="6"/>
  <c r="N19" i="6" s="1"/>
  <c r="M20" i="6"/>
  <c r="N20" i="6"/>
  <c r="M10" i="6"/>
  <c r="N10" i="6"/>
  <c r="M9" i="6"/>
  <c r="N9" i="6" s="1"/>
  <c r="M23" i="6"/>
  <c r="N23" i="6" s="1"/>
  <c r="Q23" i="6" s="1"/>
  <c r="M24" i="6"/>
  <c r="N24" i="6"/>
  <c r="Q24" i="6" s="1"/>
  <c r="M12" i="6"/>
  <c r="N12" i="6"/>
  <c r="Q12" i="6" s="1"/>
  <c r="M13" i="6"/>
  <c r="N13" i="6" s="1"/>
  <c r="Q13" i="6" s="1"/>
  <c r="M25" i="6"/>
  <c r="N25" i="6"/>
  <c r="M14" i="6"/>
  <c r="N14" i="6"/>
  <c r="Q14" i="6"/>
  <c r="M11" i="6"/>
  <c r="N11" i="6" s="1"/>
  <c r="M21" i="6"/>
  <c r="N21" i="6" s="1"/>
  <c r="Q21" i="6" s="1"/>
  <c r="M22" i="6"/>
  <c r="N22" i="6"/>
  <c r="M17" i="6"/>
  <c r="N17" i="6"/>
  <c r="Q17" i="6" s="1"/>
  <c r="M18" i="6"/>
  <c r="N18" i="6" s="1"/>
  <c r="Q18" i="6" s="1"/>
  <c r="M27" i="6"/>
  <c r="N27" i="6"/>
  <c r="O27" i="6"/>
  <c r="O26" i="6" s="1"/>
  <c r="O25" i="6" s="1"/>
  <c r="O24" i="6" l="1"/>
  <c r="P25" i="6"/>
  <c r="Q25" i="6" s="1"/>
  <c r="Q10" i="6"/>
  <c r="Q11" i="6"/>
  <c r="Q20" i="6"/>
  <c r="Q9" i="6"/>
  <c r="Q8" i="6"/>
  <c r="Q22" i="6"/>
  <c r="P2" i="6"/>
  <c r="Q19" i="6"/>
  <c r="Q15" i="6"/>
  <c r="P3" i="6"/>
  <c r="O23" i="6" l="1"/>
  <c r="P24" i="6"/>
  <c r="P23" i="6" l="1"/>
  <c r="O22" i="6"/>
  <c r="O21" i="6" l="1"/>
  <c r="P22" i="6"/>
  <c r="P21" i="6" l="1"/>
  <c r="O20" i="6"/>
  <c r="P20" i="6" l="1"/>
  <c r="O19" i="6"/>
  <c r="P19" i="6" l="1"/>
  <c r="O18" i="6"/>
  <c r="P18" i="6" l="1"/>
  <c r="O17" i="6"/>
  <c r="O16" i="6" l="1"/>
  <c r="P17" i="6"/>
  <c r="P16" i="6" l="1"/>
  <c r="O15" i="6"/>
  <c r="O14" i="6" l="1"/>
  <c r="P15" i="6"/>
  <c r="O13" i="6" l="1"/>
  <c r="P14" i="6"/>
  <c r="P13" i="6" l="1"/>
  <c r="O12" i="6"/>
  <c r="P12" i="6" l="1"/>
  <c r="O11" i="6"/>
  <c r="P11" i="6" l="1"/>
  <c r="O10" i="6"/>
  <c r="O9" i="6" l="1"/>
  <c r="P10" i="6"/>
  <c r="O8" i="6" l="1"/>
  <c r="P8" i="6" s="1"/>
  <c r="P9" i="6"/>
</calcChain>
</file>

<file path=xl/comments1.xml><?xml version="1.0" encoding="utf-8"?>
<comments xmlns="http://schemas.openxmlformats.org/spreadsheetml/2006/main">
  <authors>
    <author>Ian Timaeus</author>
  </authors>
  <commentList>
    <comment ref="H2" authorId="0" shapeId="0">
      <text>
        <r>
          <rPr>
            <sz val="9"/>
            <color indexed="81"/>
            <rFont val="Tahoma"/>
            <family val="2"/>
          </rPr>
          <t xml:space="preserve">想使用其他类别的标准生命表，请在 </t>
        </r>
        <r>
          <rPr>
            <b/>
            <i/>
            <sz val="9"/>
            <color indexed="81"/>
            <rFont val="Tahoma"/>
            <family val="2"/>
          </rPr>
          <t>Introduction</t>
        </r>
        <r>
          <rPr>
            <sz val="9"/>
            <color indexed="81"/>
            <rFont val="Tahoma"/>
            <family val="2"/>
          </rPr>
          <t>工作表的</t>
        </r>
        <r>
          <rPr>
            <b/>
            <sz val="9"/>
            <color indexed="81"/>
            <rFont val="Tahoma"/>
            <family val="2"/>
          </rPr>
          <t>D11</t>
        </r>
        <r>
          <rPr>
            <sz val="9"/>
            <color indexed="81"/>
            <rFont val="Tahoma"/>
            <family val="2"/>
          </rPr>
          <t>单元格选择“其他”，并在此列输入其罗吉特值。</t>
        </r>
      </text>
    </comment>
    <comment ref="Q2" authorId="0" shapeId="0">
      <text>
        <r>
          <rPr>
            <sz val="9"/>
            <color indexed="81"/>
            <rFont val="Tahoma"/>
            <family val="2"/>
          </rPr>
          <t xml:space="preserve">想使用其他类别的标准生命表，请在 </t>
        </r>
        <r>
          <rPr>
            <b/>
            <i/>
            <sz val="9"/>
            <color indexed="81"/>
            <rFont val="Tahoma"/>
            <family val="2"/>
          </rPr>
          <t>Introduction</t>
        </r>
        <r>
          <rPr>
            <sz val="9"/>
            <color indexed="81"/>
            <rFont val="Tahoma"/>
            <family val="2"/>
          </rPr>
          <t>工作表的</t>
        </r>
        <r>
          <rPr>
            <b/>
            <sz val="9"/>
            <color indexed="81"/>
            <rFont val="Tahoma"/>
            <family val="2"/>
          </rPr>
          <t>D11</t>
        </r>
        <r>
          <rPr>
            <sz val="9"/>
            <color indexed="81"/>
            <rFont val="Tahoma"/>
            <family val="2"/>
          </rPr>
          <t>单元格选择“其他”，并在此列输入其罗吉特值。</t>
        </r>
      </text>
    </comment>
  </commentList>
</comments>
</file>

<file path=xl/comments2.xml><?xml version="1.0" encoding="utf-8"?>
<comments xmlns="http://schemas.openxmlformats.org/spreadsheetml/2006/main">
  <authors>
    <author>Rob Dorrrington</author>
  </authors>
  <commentList>
    <comment ref="Q29" authorId="0" shapeId="0">
      <text>
        <r>
          <rPr>
            <b/>
            <sz val="8"/>
            <color indexed="81"/>
            <rFont val="Tahoma"/>
            <family val="2"/>
          </rPr>
          <t xml:space="preserve">
然而，根据联合国手册，如果死亡数并不是在两次普查的正中间，那么这个值只能代表其中某一次。</t>
        </r>
      </text>
    </comment>
  </commentList>
</comments>
</file>

<file path=xl/comments3.xml><?xml version="1.0" encoding="utf-8"?>
<comments xmlns="http://schemas.openxmlformats.org/spreadsheetml/2006/main">
  <authors>
    <author>Rob Dorrrington</author>
  </authors>
  <commentList>
    <comment ref="O1" authorId="0" shapeId="0">
      <text>
        <r>
          <rPr>
            <b/>
            <sz val="12"/>
            <color indexed="81"/>
            <rFont val="Tahoma"/>
            <family val="2"/>
          </rPr>
          <t xml:space="preserve">
只有当用来平滑第K列的率的标准生命表能正确反映研究人口的死亡模式时，这些数值才是有效的。一张正确的标准生命表应该使得右图大部分数据点散布在拟合直线的附近。
本表主要是用来估算e(65) 至 e(85)的值。</t>
        </r>
      </text>
    </comment>
  </commentList>
</comments>
</file>

<file path=xl/sharedStrings.xml><?xml version="1.0" encoding="utf-8"?>
<sst xmlns="http://schemas.openxmlformats.org/spreadsheetml/2006/main" count="140" uniqueCount="108">
  <si>
    <t>x</t>
  </si>
  <si>
    <t>Alpha  =</t>
  </si>
  <si>
    <t>45q15 =</t>
  </si>
  <si>
    <t>P1(x+)</t>
  </si>
  <si>
    <t>P2(x+)</t>
  </si>
  <si>
    <t>D(x+)</t>
  </si>
  <si>
    <t>PYL(x+)</t>
  </si>
  <si>
    <t>N(x)</t>
  </si>
  <si>
    <t>a+bx</t>
  </si>
  <si>
    <t>Beta   =</t>
  </si>
  <si>
    <t>35q15 =</t>
  </si>
  <si>
    <t xml:space="preserve">     0-4</t>
  </si>
  <si>
    <t xml:space="preserve">     5-9</t>
  </si>
  <si>
    <t xml:space="preserve">     10-14</t>
  </si>
  <si>
    <t xml:space="preserve">     15-19</t>
  </si>
  <si>
    <t xml:space="preserve">     20-24</t>
  </si>
  <si>
    <t xml:space="preserve">     25-29</t>
  </si>
  <si>
    <t xml:space="preserve">     30-34</t>
  </si>
  <si>
    <t xml:space="preserve">     35-39</t>
  </si>
  <si>
    <t xml:space="preserve">     40-44</t>
  </si>
  <si>
    <t xml:space="preserve">     45-49</t>
  </si>
  <si>
    <t xml:space="preserve">     50-54</t>
  </si>
  <si>
    <t xml:space="preserve">     55-59</t>
  </si>
  <si>
    <t xml:space="preserve">     60-64</t>
  </si>
  <si>
    <t>k1/k2 =</t>
  </si>
  <si>
    <t>k1 =</t>
  </si>
  <si>
    <t>k2 =</t>
  </si>
  <si>
    <t>k1*k2 =</t>
  </si>
  <si>
    <t>a =</t>
  </si>
  <si>
    <t>b =</t>
  </si>
  <si>
    <t>NM(x+)</t>
  </si>
  <si>
    <t>r(x+)-i(x+)</t>
  </si>
  <si>
    <r>
      <rPr>
        <b/>
        <i/>
        <sz val="11"/>
        <rFont val="Arial"/>
        <family val="2"/>
      </rPr>
      <t>e</t>
    </r>
    <r>
      <rPr>
        <b/>
        <vertAlign val="subscript"/>
        <sz val="11"/>
        <rFont val="Arial"/>
        <family val="2"/>
      </rPr>
      <t>0</t>
    </r>
    <r>
      <rPr>
        <b/>
        <sz val="11"/>
        <rFont val="Arial"/>
        <family val="2"/>
      </rPr>
      <t xml:space="preserve"> = 60</t>
    </r>
  </si>
  <si>
    <r>
      <rPr>
        <b/>
        <i/>
        <sz val="11"/>
        <rFont val="Arial"/>
        <family val="2"/>
      </rPr>
      <t>Y</t>
    </r>
    <r>
      <rPr>
        <b/>
        <vertAlign val="subscript"/>
        <sz val="11"/>
        <rFont val="Arial"/>
        <family val="2"/>
      </rPr>
      <t>s</t>
    </r>
    <r>
      <rPr>
        <b/>
        <sz val="11"/>
        <rFont val="Arial"/>
        <family val="2"/>
      </rPr>
      <t>(</t>
    </r>
    <r>
      <rPr>
        <b/>
        <i/>
        <sz val="11"/>
        <rFont val="Arial"/>
        <family val="2"/>
      </rPr>
      <t>x</t>
    </r>
    <r>
      <rPr>
        <b/>
        <sz val="11"/>
        <rFont val="Arial"/>
        <family val="2"/>
      </rPr>
      <t>)</t>
    </r>
  </si>
  <si>
    <r>
      <rPr>
        <b/>
        <i/>
        <sz val="12"/>
        <rFont val="Arial"/>
        <family val="2"/>
      </rPr>
      <t>l</t>
    </r>
    <r>
      <rPr>
        <b/>
        <sz val="11"/>
        <rFont val="Arial"/>
        <family val="2"/>
      </rPr>
      <t>(</t>
    </r>
    <r>
      <rPr>
        <b/>
        <i/>
        <sz val="11"/>
        <rFont val="Arial"/>
        <family val="2"/>
      </rPr>
      <t>x</t>
    </r>
    <r>
      <rPr>
        <b/>
        <sz val="11"/>
        <rFont val="Arial"/>
        <family val="2"/>
      </rPr>
      <t>)</t>
    </r>
  </si>
  <si>
    <r>
      <t>5</t>
    </r>
    <r>
      <rPr>
        <b/>
        <i/>
        <sz val="10"/>
        <rFont val="Arial"/>
        <family val="2"/>
      </rPr>
      <t>N</t>
    </r>
    <r>
      <rPr>
        <b/>
        <i/>
        <vertAlign val="subscript"/>
        <sz val="10"/>
        <rFont val="Arial"/>
        <family val="2"/>
      </rPr>
      <t>x</t>
    </r>
    <r>
      <rPr>
        <b/>
        <sz val="10"/>
        <rFont val="Arial"/>
        <family val="2"/>
      </rPr>
      <t>(</t>
    </r>
    <r>
      <rPr>
        <b/>
        <i/>
        <sz val="10"/>
        <rFont val="Arial"/>
        <family val="2"/>
      </rPr>
      <t>t</t>
    </r>
    <r>
      <rPr>
        <b/>
        <i/>
        <vertAlign val="subscript"/>
        <sz val="10"/>
        <rFont val="Arial"/>
        <family val="2"/>
      </rPr>
      <t>1</t>
    </r>
    <r>
      <rPr>
        <b/>
        <sz val="10"/>
        <rFont val="Arial"/>
        <family val="2"/>
      </rPr>
      <t>)</t>
    </r>
  </si>
  <si>
    <r>
      <t>5</t>
    </r>
    <r>
      <rPr>
        <b/>
        <i/>
        <sz val="10"/>
        <rFont val="Arial"/>
        <family val="2"/>
      </rPr>
      <t>N</t>
    </r>
    <r>
      <rPr>
        <b/>
        <i/>
        <vertAlign val="subscript"/>
        <sz val="10"/>
        <rFont val="Arial"/>
        <family val="2"/>
      </rPr>
      <t>x</t>
    </r>
    <r>
      <rPr>
        <b/>
        <sz val="10"/>
        <rFont val="Arial"/>
        <family val="2"/>
      </rPr>
      <t>(</t>
    </r>
    <r>
      <rPr>
        <b/>
        <i/>
        <sz val="10"/>
        <rFont val="Arial"/>
        <family val="2"/>
      </rPr>
      <t>t</t>
    </r>
    <r>
      <rPr>
        <b/>
        <i/>
        <vertAlign val="subscript"/>
        <sz val="10"/>
        <rFont val="Arial"/>
        <family val="2"/>
      </rPr>
      <t>2</t>
    </r>
    <r>
      <rPr>
        <b/>
        <sz val="10"/>
        <rFont val="Arial"/>
        <family val="2"/>
      </rPr>
      <t>)</t>
    </r>
  </si>
  <si>
    <r>
      <t>5</t>
    </r>
    <r>
      <rPr>
        <b/>
        <i/>
        <sz val="10"/>
        <rFont val="Arial"/>
        <family val="2"/>
      </rPr>
      <t>D</t>
    </r>
    <r>
      <rPr>
        <b/>
        <i/>
        <vertAlign val="subscript"/>
        <sz val="10"/>
        <rFont val="Arial"/>
        <family val="2"/>
      </rPr>
      <t>x</t>
    </r>
  </si>
  <si>
    <r>
      <t>5</t>
    </r>
    <r>
      <rPr>
        <b/>
        <i/>
        <sz val="10"/>
        <rFont val="Arial"/>
        <family val="2"/>
      </rPr>
      <t>NM</t>
    </r>
    <r>
      <rPr>
        <b/>
        <i/>
        <vertAlign val="subscript"/>
        <sz val="10"/>
        <rFont val="Arial"/>
        <family val="2"/>
      </rPr>
      <t>x</t>
    </r>
  </si>
  <si>
    <r>
      <rPr>
        <b/>
        <vertAlign val="subscript"/>
        <sz val="10"/>
        <rFont val="Arial"/>
        <family val="2"/>
      </rPr>
      <t>5</t>
    </r>
    <r>
      <rPr>
        <b/>
        <i/>
        <sz val="10"/>
        <rFont val="Arial"/>
        <family val="2"/>
      </rPr>
      <t>q</t>
    </r>
    <r>
      <rPr>
        <b/>
        <i/>
        <vertAlign val="subscript"/>
        <sz val="10"/>
        <rFont val="Arial"/>
        <family val="2"/>
      </rPr>
      <t>x</t>
    </r>
  </si>
  <si>
    <r>
      <rPr>
        <b/>
        <i/>
        <sz val="10"/>
        <rFont val="Arial"/>
        <family val="2"/>
      </rPr>
      <t>l</t>
    </r>
    <r>
      <rPr>
        <b/>
        <i/>
        <vertAlign val="subscript"/>
        <sz val="10"/>
        <rFont val="Arial"/>
        <family val="2"/>
      </rPr>
      <t>x</t>
    </r>
    <r>
      <rPr>
        <b/>
        <sz val="10"/>
        <rFont val="Arial"/>
        <family val="2"/>
      </rPr>
      <t>/</t>
    </r>
    <r>
      <rPr>
        <b/>
        <i/>
        <sz val="10"/>
        <rFont val="Arial"/>
        <family val="2"/>
      </rPr>
      <t>l</t>
    </r>
    <r>
      <rPr>
        <b/>
        <vertAlign val="subscript"/>
        <sz val="10"/>
        <rFont val="Arial"/>
        <family val="2"/>
      </rPr>
      <t>5</t>
    </r>
  </si>
  <si>
    <r>
      <rPr>
        <b/>
        <i/>
        <sz val="10"/>
        <rFont val="Arial"/>
        <family val="2"/>
      </rPr>
      <t>T</t>
    </r>
    <r>
      <rPr>
        <b/>
        <sz val="10"/>
        <rFont val="Arial"/>
        <family val="2"/>
      </rPr>
      <t>(</t>
    </r>
    <r>
      <rPr>
        <b/>
        <i/>
        <sz val="10"/>
        <rFont val="Arial"/>
        <family val="2"/>
      </rPr>
      <t>x</t>
    </r>
    <r>
      <rPr>
        <b/>
        <sz val="10"/>
        <rFont val="Arial"/>
        <family val="2"/>
      </rPr>
      <t>)</t>
    </r>
  </si>
  <si>
    <r>
      <rPr>
        <b/>
        <i/>
        <sz val="10"/>
        <rFont val="Arial"/>
        <family val="2"/>
      </rPr>
      <t>e</t>
    </r>
    <r>
      <rPr>
        <b/>
        <sz val="10"/>
        <rFont val="Arial"/>
        <family val="2"/>
      </rPr>
      <t>(</t>
    </r>
    <r>
      <rPr>
        <b/>
        <i/>
        <sz val="10"/>
        <rFont val="Arial"/>
        <family val="2"/>
      </rPr>
      <t>x</t>
    </r>
    <r>
      <rPr>
        <b/>
        <sz val="10"/>
        <rFont val="Arial"/>
        <family val="2"/>
      </rPr>
      <t>)</t>
    </r>
  </si>
  <si>
    <t>d(x+) = X</t>
  </si>
  <si>
    <t>b(x+)</t>
  </si>
  <si>
    <t>b(x+)-r(x+) +i(x+) = Y</t>
  </si>
  <si>
    <t>http://demographicestimation.iussp.org/content/generalized-growth-balance-method</t>
  </si>
  <si>
    <t>本方法的阐述请参见</t>
  </si>
  <si>
    <t>应用</t>
  </si>
  <si>
    <t>输入参数</t>
  </si>
  <si>
    <t>国家/人口的名称</t>
  </si>
  <si>
    <t>南非</t>
  </si>
  <si>
    <t>性别</t>
  </si>
  <si>
    <t>选定标准生命表</t>
  </si>
  <si>
    <t>在右边单元格内输入第一次人口普查的日期 (格式为：YYYY/MM/DD) 。</t>
  </si>
  <si>
    <t>在右边单元格内输入第二次人口普查的日期 (格式为：YYYY/MM/DD)。</t>
  </si>
  <si>
    <r>
      <t>清除</t>
    </r>
    <r>
      <rPr>
        <b/>
        <i/>
        <sz val="12"/>
        <rFont val="Arial"/>
        <family val="2"/>
      </rPr>
      <t>Method</t>
    </r>
    <r>
      <rPr>
        <sz val="12"/>
        <rFont val="Arial"/>
        <family val="2"/>
      </rPr>
      <t>工作表的</t>
    </r>
    <r>
      <rPr>
        <b/>
        <sz val="12"/>
        <rFont val="Arial"/>
        <family val="2"/>
      </rPr>
      <t>C8:F25</t>
    </r>
    <r>
      <rPr>
        <sz val="12"/>
        <rFont val="Arial"/>
        <family val="2"/>
      </rPr>
      <t>单元格区域中的数据。</t>
    </r>
  </si>
  <si>
    <r>
      <t>确保所有数据的最高（开放）年龄组都一样。将第一次普查的人口数输入</t>
    </r>
    <r>
      <rPr>
        <b/>
        <i/>
        <sz val="12"/>
        <rFont val="Arial"/>
        <family val="2"/>
      </rPr>
      <t>Method</t>
    </r>
    <r>
      <rPr>
        <sz val="12"/>
        <rFont val="Arial"/>
        <family val="2"/>
      </rPr>
      <t xml:space="preserve">工作表中 </t>
    </r>
    <r>
      <rPr>
        <b/>
        <sz val="12"/>
        <rFont val="Arial"/>
        <family val="2"/>
      </rPr>
      <t>C8:C25</t>
    </r>
    <r>
      <rPr>
        <sz val="12"/>
        <rFont val="Arial"/>
        <family val="2"/>
      </rPr>
      <t xml:space="preserve">单元格区域，第二次普查的人口数输入 </t>
    </r>
    <r>
      <rPr>
        <b/>
        <sz val="12"/>
        <rFont val="Arial"/>
        <family val="2"/>
      </rPr>
      <t>D8:D25</t>
    </r>
    <r>
      <rPr>
        <sz val="12"/>
        <rFont val="Arial"/>
        <family val="2"/>
      </rPr>
      <t xml:space="preserve"> 单元格区域，期间的死亡数输入</t>
    </r>
    <r>
      <rPr>
        <b/>
        <sz val="12"/>
        <rFont val="Arial"/>
        <family val="2"/>
      </rPr>
      <t>E8:E25</t>
    </r>
    <r>
      <rPr>
        <sz val="12"/>
        <rFont val="Arial"/>
        <family val="2"/>
      </rPr>
      <t xml:space="preserve"> 单元格区域 (如有可靠的迁移数据，则也输入 </t>
    </r>
    <r>
      <rPr>
        <b/>
        <sz val="12"/>
        <rFont val="Arial"/>
        <family val="2"/>
      </rPr>
      <t>F8:F25</t>
    </r>
    <r>
      <rPr>
        <sz val="12"/>
        <rFont val="Arial"/>
        <family val="2"/>
      </rPr>
      <t>单元格区域)。</t>
    </r>
  </si>
  <si>
    <r>
      <t xml:space="preserve"> </t>
    </r>
    <r>
      <rPr>
        <b/>
        <i/>
        <sz val="12"/>
        <rFont val="Arial"/>
        <family val="2"/>
      </rPr>
      <t>e</t>
    </r>
    <r>
      <rPr>
        <b/>
        <vertAlign val="subscript"/>
        <sz val="12"/>
        <rFont val="Arial"/>
        <family val="2"/>
      </rPr>
      <t>0</t>
    </r>
    <r>
      <rPr>
        <b/>
        <sz val="12"/>
        <rFont val="Arial"/>
        <family val="2"/>
      </rPr>
      <t>=60岁模型生命表罗吉特值, 女性</t>
    </r>
  </si>
  <si>
    <r>
      <t>女性，</t>
    </r>
    <r>
      <rPr>
        <b/>
        <i/>
        <sz val="12"/>
        <rFont val="Arial Narrow"/>
        <family val="2"/>
      </rPr>
      <t>e</t>
    </r>
    <r>
      <rPr>
        <b/>
        <vertAlign val="subscript"/>
        <sz val="12"/>
        <rFont val="Arial Narrow"/>
        <family val="2"/>
      </rPr>
      <t>0</t>
    </r>
    <r>
      <rPr>
        <b/>
        <sz val="12"/>
        <rFont val="Arial Narrow"/>
        <family val="2"/>
      </rPr>
      <t>=55岁</t>
    </r>
  </si>
  <si>
    <r>
      <t xml:space="preserve"> </t>
    </r>
    <r>
      <rPr>
        <b/>
        <i/>
        <sz val="12"/>
        <rFont val="Arial"/>
        <family val="2"/>
      </rPr>
      <t>e</t>
    </r>
    <r>
      <rPr>
        <b/>
        <vertAlign val="subscript"/>
        <sz val="12"/>
        <rFont val="Arial"/>
        <family val="2"/>
      </rPr>
      <t>0</t>
    </r>
    <r>
      <rPr>
        <b/>
        <sz val="12"/>
        <rFont val="Arial"/>
        <family val="2"/>
      </rPr>
      <t>=60岁模型生命表罗吉特值, 男性</t>
    </r>
  </si>
  <si>
    <r>
      <t xml:space="preserve">男性 </t>
    </r>
    <r>
      <rPr>
        <b/>
        <i/>
        <sz val="12"/>
        <rFont val="Arial Narrow"/>
        <family val="2"/>
      </rPr>
      <t>e</t>
    </r>
    <r>
      <rPr>
        <b/>
        <vertAlign val="subscript"/>
        <sz val="12"/>
        <rFont val="Arial Narrow"/>
        <family val="2"/>
      </rPr>
      <t>0</t>
    </r>
    <r>
      <rPr>
        <b/>
        <sz val="12"/>
        <rFont val="Arial Narrow"/>
        <family val="2"/>
      </rPr>
      <t>=50岁</t>
    </r>
  </si>
  <si>
    <t>年龄</t>
  </si>
  <si>
    <t>联合国一般</t>
  </si>
  <si>
    <t>普林斯顿东部</t>
  </si>
  <si>
    <t>普林斯顿北部</t>
  </si>
  <si>
    <t>普林斯顿南部</t>
  </si>
  <si>
    <t>普林斯顿西部</t>
  </si>
  <si>
    <t>艾滋病</t>
  </si>
  <si>
    <t>其他</t>
  </si>
  <si>
    <t>标准生命表</t>
  </si>
  <si>
    <t>修正的</t>
  </si>
  <si>
    <t>女性</t>
  </si>
  <si>
    <t>国家</t>
  </si>
  <si>
    <t>普查中间时点</t>
  </si>
  <si>
    <t>普查间隔</t>
  </si>
  <si>
    <t>拟合直线的年龄区间</t>
  </si>
  <si>
    <t xml:space="preserve">下限年龄= </t>
  </si>
  <si>
    <t>上限年龄 =</t>
  </si>
  <si>
    <t>&lt;-- 必须小于</t>
  </si>
  <si>
    <t>残差        y-(a+bx)</t>
  </si>
  <si>
    <t>合计</t>
  </si>
  <si>
    <r>
      <t>完整率s,</t>
    </r>
    <r>
      <rPr>
        <b/>
        <i/>
        <sz val="10"/>
        <rFont val="Arial"/>
        <family val="2"/>
      </rPr>
      <t xml:space="preserve"> C =</t>
    </r>
  </si>
  <si>
    <t>拟合起始年龄:</t>
  </si>
  <si>
    <t>拟合终点年龄:</t>
  </si>
  <si>
    <r>
      <rPr>
        <b/>
        <sz val="10"/>
        <rFont val="Arial"/>
        <family val="2"/>
      </rPr>
      <t xml:space="preserve">调整的 </t>
    </r>
    <r>
      <rPr>
        <b/>
        <vertAlign val="subscript"/>
        <sz val="10"/>
        <rFont val="Arial"/>
        <family val="2"/>
      </rPr>
      <t xml:space="preserve"> 5</t>
    </r>
    <r>
      <rPr>
        <b/>
        <i/>
        <sz val="10"/>
        <rFont val="Arial"/>
        <family val="2"/>
      </rPr>
      <t>N</t>
    </r>
    <r>
      <rPr>
        <b/>
        <i/>
        <vertAlign val="subscript"/>
        <sz val="10"/>
        <rFont val="Arial"/>
        <family val="2"/>
      </rPr>
      <t>x</t>
    </r>
    <r>
      <rPr>
        <b/>
        <sz val="10"/>
        <rFont val="Arial"/>
        <family val="2"/>
      </rPr>
      <t>(</t>
    </r>
    <r>
      <rPr>
        <b/>
        <i/>
        <sz val="10"/>
        <rFont val="Arial"/>
        <family val="2"/>
      </rPr>
      <t>t</t>
    </r>
    <r>
      <rPr>
        <b/>
        <vertAlign val="subscript"/>
        <sz val="10"/>
        <rFont val="Arial"/>
        <family val="2"/>
      </rPr>
      <t>1</t>
    </r>
    <r>
      <rPr>
        <b/>
        <sz val="10"/>
        <rFont val="Arial"/>
        <family val="2"/>
      </rPr>
      <t>)</t>
    </r>
  </si>
  <si>
    <r>
      <rPr>
        <b/>
        <sz val="10"/>
        <rFont val="Arial"/>
        <family val="2"/>
      </rPr>
      <t xml:space="preserve">调整的 </t>
    </r>
    <r>
      <rPr>
        <b/>
        <vertAlign val="subscript"/>
        <sz val="10"/>
        <rFont val="Arial"/>
        <family val="2"/>
      </rPr>
      <t xml:space="preserve"> 5</t>
    </r>
    <r>
      <rPr>
        <b/>
        <i/>
        <sz val="10"/>
        <rFont val="Arial"/>
        <family val="2"/>
      </rPr>
      <t>N</t>
    </r>
    <r>
      <rPr>
        <b/>
        <i/>
        <vertAlign val="subscript"/>
        <sz val="10"/>
        <rFont val="Arial"/>
        <family val="2"/>
      </rPr>
      <t>x</t>
    </r>
    <r>
      <rPr>
        <b/>
        <sz val="10"/>
        <rFont val="Arial"/>
        <family val="2"/>
      </rPr>
      <t>(</t>
    </r>
    <r>
      <rPr>
        <b/>
        <i/>
        <sz val="10"/>
        <rFont val="Arial"/>
        <family val="2"/>
      </rPr>
      <t>t</t>
    </r>
    <r>
      <rPr>
        <b/>
        <vertAlign val="subscript"/>
        <sz val="10"/>
        <rFont val="Arial"/>
        <family val="2"/>
      </rPr>
      <t>2</t>
    </r>
    <r>
      <rPr>
        <b/>
        <sz val="10"/>
        <rFont val="Arial"/>
        <family val="2"/>
      </rPr>
      <t>)</t>
    </r>
  </si>
  <si>
    <r>
      <rPr>
        <b/>
        <sz val="10"/>
        <rFont val="Arial"/>
        <family val="2"/>
      </rPr>
      <t xml:space="preserve">调整的  </t>
    </r>
    <r>
      <rPr>
        <b/>
        <vertAlign val="subscript"/>
        <sz val="10"/>
        <rFont val="Arial"/>
        <family val="2"/>
      </rPr>
      <t xml:space="preserve"> 5</t>
    </r>
    <r>
      <rPr>
        <b/>
        <i/>
        <sz val="10"/>
        <rFont val="Arial"/>
        <family val="2"/>
      </rPr>
      <t>D</t>
    </r>
    <r>
      <rPr>
        <b/>
        <i/>
        <vertAlign val="subscript"/>
        <sz val="10"/>
        <rFont val="Arial"/>
        <family val="2"/>
      </rPr>
      <t>x</t>
    </r>
  </si>
  <si>
    <t xml:space="preserve"> 调整的 PYL(x,5)</t>
  </si>
  <si>
    <r>
      <t xml:space="preserve">  调整的 </t>
    </r>
    <r>
      <rPr>
        <b/>
        <vertAlign val="subscript"/>
        <sz val="10"/>
        <rFont val="Arial"/>
        <family val="2"/>
      </rPr>
      <t>5</t>
    </r>
    <r>
      <rPr>
        <b/>
        <i/>
        <sz val="10"/>
        <rFont val="Arial"/>
        <family val="2"/>
      </rPr>
      <t>m</t>
    </r>
    <r>
      <rPr>
        <b/>
        <i/>
        <vertAlign val="subscript"/>
        <sz val="10"/>
        <rFont val="Arial"/>
        <family val="2"/>
      </rPr>
      <t>x</t>
    </r>
  </si>
  <si>
    <r>
      <t xml:space="preserve">条件 </t>
    </r>
    <r>
      <rPr>
        <b/>
        <i/>
        <sz val="10"/>
        <rFont val="Arial"/>
        <family val="2"/>
      </rPr>
      <t>Ys</t>
    </r>
    <r>
      <rPr>
        <b/>
        <sz val="10"/>
        <rFont val="Arial"/>
        <family val="2"/>
      </rPr>
      <t>(</t>
    </r>
    <r>
      <rPr>
        <b/>
        <i/>
        <sz val="10"/>
        <rFont val="Arial"/>
        <family val="2"/>
      </rPr>
      <t>x</t>
    </r>
    <r>
      <rPr>
        <b/>
        <sz val="10"/>
        <rFont val="Arial"/>
        <family val="2"/>
      </rPr>
      <t>)</t>
    </r>
  </si>
  <si>
    <r>
      <t xml:space="preserve">拟合的 </t>
    </r>
    <r>
      <rPr>
        <b/>
        <i/>
        <sz val="10"/>
        <rFont val="Arial"/>
        <family val="2"/>
      </rPr>
      <t>Y</t>
    </r>
    <r>
      <rPr>
        <b/>
        <sz val="10"/>
        <rFont val="Arial"/>
        <family val="2"/>
      </rPr>
      <t>(x)</t>
    </r>
  </si>
  <si>
    <r>
      <t xml:space="preserve">拟合的  </t>
    </r>
    <r>
      <rPr>
        <b/>
        <i/>
        <sz val="10"/>
        <rFont val="Arial"/>
        <family val="2"/>
      </rPr>
      <t>l</t>
    </r>
    <r>
      <rPr>
        <b/>
        <sz val="10"/>
        <rFont val="Arial"/>
        <family val="2"/>
      </rPr>
      <t>(</t>
    </r>
    <r>
      <rPr>
        <b/>
        <i/>
        <sz val="10"/>
        <rFont val="Arial"/>
        <family val="2"/>
      </rPr>
      <t>x</t>
    </r>
    <r>
      <rPr>
        <b/>
        <sz val="10"/>
        <rFont val="Arial"/>
        <family val="2"/>
      </rPr>
      <t>)</t>
    </r>
  </si>
  <si>
    <r>
      <t xml:space="preserve">平滑后的 </t>
    </r>
    <r>
      <rPr>
        <b/>
        <vertAlign val="subscript"/>
        <sz val="10"/>
        <rFont val="Arial"/>
        <family val="2"/>
      </rPr>
      <t>5</t>
    </r>
    <r>
      <rPr>
        <b/>
        <i/>
        <sz val="10"/>
        <rFont val="Arial"/>
        <family val="2"/>
      </rPr>
      <t>m</t>
    </r>
    <r>
      <rPr>
        <b/>
        <i/>
        <vertAlign val="subscript"/>
        <sz val="10"/>
        <rFont val="Arial"/>
        <family val="2"/>
      </rPr>
      <t>x</t>
    </r>
  </si>
  <si>
    <t>第一次普查日期 (YYYY/MM/DD)</t>
  </si>
  <si>
    <t>第二次普查日期 (YYYY/MM/DD)</t>
  </si>
  <si>
    <t>警示</t>
  </si>
  <si>
    <t>在右边单元格内选择所研究人口的性别。</t>
  </si>
  <si>
    <r>
      <t>在右边</t>
    </r>
    <r>
      <rPr>
        <b/>
        <sz val="12"/>
        <rFont val="Arial"/>
        <family val="2"/>
      </rPr>
      <t>D9</t>
    </r>
    <r>
      <rPr>
        <sz val="12"/>
        <rFont val="Arial"/>
        <family val="2"/>
      </rPr>
      <t>单元格内输入国家/人口的名称。</t>
    </r>
  </si>
  <si>
    <r>
      <t>调整了登记不完整率和相对漏报后的死亡率的估计值示于</t>
    </r>
    <r>
      <rPr>
        <b/>
        <i/>
        <sz val="12"/>
        <rFont val="Arial"/>
        <family val="2"/>
      </rPr>
      <t>Mortality rates</t>
    </r>
    <r>
      <rPr>
        <sz val="12"/>
        <rFont val="Arial"/>
        <family val="2"/>
      </rPr>
      <t xml:space="preserve"> 工作表 </t>
    </r>
    <r>
      <rPr>
        <b/>
        <sz val="12"/>
        <rFont val="Arial"/>
        <family val="2"/>
      </rPr>
      <t>F8:F24</t>
    </r>
    <r>
      <rPr>
        <sz val="12"/>
        <rFont val="Arial"/>
        <family val="2"/>
      </rPr>
      <t>单元格区域。.</t>
    </r>
  </si>
  <si>
    <r>
      <t xml:space="preserve">观测的 </t>
    </r>
    <r>
      <rPr>
        <b/>
        <i/>
        <sz val="10"/>
        <rFont val="Arial"/>
        <family val="2"/>
      </rPr>
      <t>Y</t>
    </r>
    <r>
      <rPr>
        <b/>
        <sz val="10"/>
        <rFont val="Arial"/>
        <family val="2"/>
      </rPr>
      <t>(</t>
    </r>
    <r>
      <rPr>
        <b/>
        <i/>
        <sz val="10"/>
        <rFont val="Arial"/>
        <family val="2"/>
      </rPr>
      <t>x</t>
    </r>
    <r>
      <rPr>
        <b/>
        <sz val="10"/>
        <rFont val="Arial"/>
        <family val="2"/>
      </rPr>
      <t>)</t>
    </r>
  </si>
  <si>
    <t>用广义增长平衡法估算成年人死亡率--应用说明</t>
  </si>
  <si>
    <t>本工作表对调查间隔期内成年死亡申报数的完整性进行估计。当人口变化稳定的情况下，本工作表也可用于只有一次普查数据的场合来对死亡申报的完整性进行估计。如果有一张较好反映研究人口的模型生命表（分布形态相似），本工作表还可用来平滑基于标准生命表得到的调整的死亡率 。</t>
  </si>
  <si>
    <t>在右边下拉式单元格内选定想要用来分析该人口死亡水平和趋势的模型生命表。</t>
  </si>
  <si>
    <r>
      <t>完整率的估计值示于</t>
    </r>
    <r>
      <rPr>
        <b/>
        <i/>
        <sz val="12"/>
        <rFont val="Arial"/>
        <family val="2"/>
      </rPr>
      <t>Method</t>
    </r>
    <r>
      <rPr>
        <sz val="12"/>
        <rFont val="Arial"/>
        <family val="2"/>
      </rPr>
      <t>工作表的</t>
    </r>
    <r>
      <rPr>
        <b/>
        <sz val="12"/>
        <rFont val="Arial"/>
        <family val="2"/>
      </rPr>
      <t xml:space="preserve"> Q33</t>
    </r>
    <r>
      <rPr>
        <sz val="12"/>
        <rFont val="Arial"/>
        <family val="2"/>
      </rPr>
      <t>单元格内。</t>
    </r>
  </si>
  <si>
    <r>
      <t xml:space="preserve">将 </t>
    </r>
    <r>
      <rPr>
        <b/>
        <i/>
        <sz val="12"/>
        <rFont val="Arial"/>
        <family val="2"/>
      </rPr>
      <t>Method</t>
    </r>
    <r>
      <rPr>
        <sz val="12"/>
        <rFont val="Arial"/>
        <family val="2"/>
      </rPr>
      <t>工作表</t>
    </r>
    <r>
      <rPr>
        <b/>
        <sz val="12"/>
        <rFont val="Arial"/>
        <family val="2"/>
      </rPr>
      <t>J3</t>
    </r>
    <r>
      <rPr>
        <sz val="12"/>
        <rFont val="Arial"/>
        <family val="2"/>
      </rPr>
      <t xml:space="preserve"> 单元格中的数设置为比开放年龄组的起始年龄小1岁。</t>
    </r>
  </si>
  <si>
    <r>
      <t>在</t>
    </r>
    <r>
      <rPr>
        <b/>
        <i/>
        <sz val="12"/>
        <rFont val="Arial"/>
        <family val="2"/>
      </rPr>
      <t>Method</t>
    </r>
    <r>
      <rPr>
        <sz val="12"/>
        <rFont val="Arial"/>
        <family val="2"/>
      </rPr>
      <t xml:space="preserve">工作表中，检查诊断图，并确定用来拟合直线( </t>
    </r>
    <r>
      <rPr>
        <b/>
        <sz val="12"/>
        <rFont val="Arial"/>
        <family val="2"/>
      </rPr>
      <t>L2</t>
    </r>
    <r>
      <rPr>
        <sz val="12"/>
        <rFont val="Arial"/>
        <family val="2"/>
      </rPr>
      <t xml:space="preserve"> 和 </t>
    </r>
    <r>
      <rPr>
        <b/>
        <sz val="12"/>
        <rFont val="Arial"/>
        <family val="2"/>
      </rPr>
      <t xml:space="preserve">L3 </t>
    </r>
    <r>
      <rPr>
        <sz val="12"/>
        <rFont val="Arial"/>
        <family val="2"/>
      </rPr>
      <t>单元格) 的年龄区间。</t>
    </r>
  </si>
  <si>
    <r>
      <t>对</t>
    </r>
    <r>
      <rPr>
        <b/>
        <i/>
        <sz val="12"/>
        <rFont val="Arial"/>
        <family val="2"/>
      </rPr>
      <t>Mortality rate</t>
    </r>
    <r>
      <rPr>
        <sz val="12"/>
        <rFont val="Arial"/>
        <family val="2"/>
      </rPr>
      <t xml:space="preserve"> 工作表 </t>
    </r>
    <r>
      <rPr>
        <b/>
        <sz val="12"/>
        <rFont val="Arial"/>
        <family val="2"/>
      </rPr>
      <t>Q8:Q25</t>
    </r>
    <r>
      <rPr>
        <sz val="12"/>
        <rFont val="Arial"/>
        <family val="2"/>
      </rPr>
      <t>区域的死亡率进行平滑处理。</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</si>
</sst>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43" formatCode="_ * #,##0.00_ ;_ * \-#,##0.00_ ;_ * &quot;-&quot;??_ ;_ @_ "/>
    <numFmt numFmtId="176" formatCode="0.00000"/>
    <numFmt numFmtId="177" formatCode="#,##0.0000_);\(#,##0.0000\)"/>
    <numFmt numFmtId="178" formatCode="0.00_)"/>
    <numFmt numFmtId="179" formatCode="0.0000_)"/>
    <numFmt numFmtId="180" formatCode="0.000"/>
    <numFmt numFmtId="181" formatCode="0_)"/>
    <numFmt numFmtId="182" formatCode="0.0%"/>
    <numFmt numFmtId="183" formatCode="_ * #,##0_ ;_ * \-#,##0_ ;_ * &quot;-&quot;??_ ;_ @_ "/>
    <numFmt numFmtId="184" formatCode="General_)"/>
    <numFmt numFmtId="185" formatCode="0.00_ ;\-0.00\ "/>
    <numFmt numFmtId="186" formatCode="yyyy/mm/dd;@"/>
    <numFmt numFmtId="187" formatCode="0.000_)"/>
    <numFmt numFmtId="188" formatCode="0.0000"/>
    <numFmt numFmtId="189" formatCode="0.0_)"/>
    <numFmt numFmtId="190" formatCode="_ * #,##0.00000_ ;_ * \-#,##0.00000_ ;_ * &quot;-&quot;??_ ;_ @_ "/>
  </numFmts>
  <fonts count="37">
    <font>
      <sz val="10"/>
      <name val="Arial"/>
    </font>
    <font>
      <sz val="11"/>
      <name val="Times New Roman"/>
      <family val="1"/>
    </font>
    <font>
      <sz val="11"/>
      <color indexed="12"/>
      <name val="Times New Roman"/>
      <family val="1"/>
    </font>
    <font>
      <sz val="10"/>
      <name val="Arial"/>
      <family val="2"/>
    </font>
    <font>
      <b/>
      <sz val="8"/>
      <color indexed="81"/>
      <name val="Tahoma"/>
      <family val="2"/>
    </font>
    <font>
      <b/>
      <sz val="10"/>
      <name val="Arial"/>
      <family val="2"/>
    </font>
    <font>
      <sz val="10"/>
      <name val="Arial"/>
      <family val="2"/>
    </font>
    <font>
      <sz val="12"/>
      <name val="Arial Narrow"/>
      <family val="2"/>
    </font>
    <font>
      <b/>
      <sz val="12"/>
      <name val="Arial Narrow"/>
      <family val="2"/>
    </font>
    <font>
      <b/>
      <i/>
      <sz val="12"/>
      <name val="Arial Narrow"/>
      <family val="2"/>
    </font>
    <font>
      <b/>
      <vertAlign val="subscript"/>
      <sz val="12"/>
      <name val="Arial Narrow"/>
      <family val="2"/>
    </font>
    <font>
      <b/>
      <sz val="12"/>
      <color indexed="81"/>
      <name val="Tahoma"/>
      <family val="2"/>
    </font>
    <font>
      <u/>
      <sz val="10"/>
      <color theme="10"/>
      <name val="Arial"/>
      <family val="2"/>
    </font>
    <font>
      <b/>
      <sz val="12"/>
      <name val="Arial"/>
      <family val="2"/>
    </font>
    <font>
      <sz val="12"/>
      <name val="Arial"/>
      <family val="2"/>
    </font>
    <font>
      <u/>
      <sz val="12"/>
      <color theme="10"/>
      <name val="Arial"/>
      <family val="2"/>
    </font>
    <font>
      <b/>
      <i/>
      <sz val="12"/>
      <name val="Arial"/>
      <family val="2"/>
    </font>
    <font>
      <sz val="12"/>
      <name val="Courier"/>
      <family val="3"/>
    </font>
    <font>
      <b/>
      <vertAlign val="subscript"/>
      <sz val="12"/>
      <name val="Arial"/>
      <family val="2"/>
    </font>
    <font>
      <b/>
      <sz val="11"/>
      <name val="Arial"/>
      <family val="2"/>
    </font>
    <font>
      <b/>
      <i/>
      <sz val="11"/>
      <name val="Arial"/>
      <family val="2"/>
    </font>
    <font>
      <b/>
      <vertAlign val="subscript"/>
      <sz val="11"/>
      <name val="Arial"/>
      <family val="2"/>
    </font>
    <font>
      <sz val="11"/>
      <color indexed="8"/>
      <name val="Calibri"/>
      <family val="2"/>
    </font>
    <font>
      <sz val="8"/>
      <name val="SAS Monospace"/>
    </font>
    <font>
      <sz val="10"/>
      <name val="Courier"/>
      <family val="3"/>
    </font>
    <font>
      <b/>
      <sz val="10"/>
      <color rgb="FFFF0000"/>
      <name val="Arial"/>
      <family val="2"/>
    </font>
    <font>
      <sz val="10"/>
      <color rgb="FFFF0000"/>
      <name val="Arial"/>
      <family val="2"/>
    </font>
    <font>
      <b/>
      <i/>
      <sz val="10"/>
      <name val="Arial"/>
      <family val="2"/>
    </font>
    <font>
      <b/>
      <vertAlign val="subscript"/>
      <sz val="10"/>
      <name val="Arial"/>
      <family val="2"/>
    </font>
    <font>
      <b/>
      <i/>
      <vertAlign val="subscript"/>
      <sz val="10"/>
      <name val="Arial"/>
      <family val="2"/>
    </font>
    <font>
      <sz val="10"/>
      <color indexed="10"/>
      <name val="Arial"/>
      <family val="2"/>
    </font>
    <font>
      <b/>
      <sz val="10"/>
      <color theme="1"/>
      <name val="Arial"/>
      <family val="2"/>
    </font>
    <font>
      <sz val="12"/>
      <name val="Courier"/>
    </font>
    <font>
      <sz val="9"/>
      <color indexed="81"/>
      <name val="Tahoma"/>
      <family val="2"/>
    </font>
    <font>
      <b/>
      <i/>
      <sz val="9"/>
      <color indexed="81"/>
      <name val="Tahoma"/>
      <family val="2"/>
    </font>
    <font>
      <b/>
      <sz val="9"/>
      <color indexed="81"/>
      <name val="Tahoma"/>
      <family val="2"/>
    </font>
    <font>
      <sz val="9"/>
      <name val="宋体"/>
      <family val="3"/>
      <charset val="134"/>
    </font>
  </fonts>
  <fills count="7">
    <fill>
      <patternFill patternType="none"/>
    </fill>
    <fill>
      <patternFill patternType="gray125"/>
    </fill>
    <fill>
      <patternFill patternType="solid">
        <fgColor rgb="FFFFEB9C"/>
        <bgColor indexed="64"/>
      </patternFill>
    </fill>
    <fill>
      <patternFill patternType="solid">
        <fgColor rgb="FFC6EFCE"/>
        <bgColor indexed="64"/>
      </patternFill>
    </fill>
    <fill>
      <patternFill patternType="solid">
        <fgColor theme="0"/>
        <bgColor indexed="64"/>
      </patternFill>
    </fill>
    <fill>
      <patternFill patternType="solid">
        <fgColor theme="6" tint="0.39994506668294322"/>
        <bgColor indexed="64"/>
      </patternFill>
    </fill>
    <fill>
      <patternFill patternType="solid">
        <fgColor rgb="FFFFEB9B"/>
        <bgColor indexed="64"/>
      </patternFill>
    </fill>
  </fills>
  <borders count="13">
    <border>
      <left/>
      <right/>
      <top/>
      <bottom/>
      <diagonal/>
    </border>
    <border>
      <left/>
      <right/>
      <top/>
      <bottom style="thin">
        <color indexed="64"/>
      </bottom>
      <diagonal/>
    </border>
    <border>
      <left/>
      <right/>
      <top style="thin">
        <color auto="1"/>
      </top>
      <bottom style="thin">
        <color auto="1"/>
      </bottom>
      <diagonal/>
    </border>
    <border>
      <left style="thin">
        <color theme="9" tint="-0.249977111117893"/>
      </left>
      <right/>
      <top/>
      <bottom/>
      <diagonal/>
    </border>
    <border>
      <left style="medium">
        <color indexed="64"/>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auto="1"/>
      </left>
      <right/>
      <top/>
      <bottom style="medium">
        <color auto="1"/>
      </bottom>
      <diagonal/>
    </border>
    <border>
      <left/>
      <right style="medium">
        <color auto="1"/>
      </right>
      <top/>
      <bottom style="medium">
        <color auto="1"/>
      </bottom>
      <diagonal/>
    </border>
    <border>
      <left/>
      <right/>
      <top style="thin">
        <color indexed="64"/>
      </top>
      <bottom/>
      <diagonal/>
    </border>
  </borders>
  <cellStyleXfs count="17">
    <xf numFmtId="0" fontId="0" fillId="0" borderId="0"/>
    <xf numFmtId="9" fontId="3" fillId="0" borderId="0" applyFont="0" applyFill="0" applyBorder="0" applyAlignment="0" applyProtection="0"/>
    <xf numFmtId="0" fontId="3" fillId="0" borderId="0"/>
    <xf numFmtId="0" fontId="3" fillId="0" borderId="0"/>
    <xf numFmtId="43" fontId="6" fillId="0" borderId="0" applyFont="0" applyFill="0" applyBorder="0" applyAlignment="0" applyProtection="0"/>
    <xf numFmtId="0" fontId="12" fillId="0" borderId="0" applyNumberFormat="0" applyFill="0" applyBorder="0" applyAlignment="0" applyProtection="0">
      <alignment vertical="top"/>
      <protection locked="0"/>
    </xf>
    <xf numFmtId="0" fontId="3" fillId="0" borderId="0"/>
    <xf numFmtId="184" fontId="17" fillId="0" borderId="0"/>
    <xf numFmtId="43" fontId="22" fillId="0" borderId="0" applyFont="0" applyFill="0" applyBorder="0" applyAlignment="0" applyProtection="0"/>
    <xf numFmtId="0" fontId="23" fillId="0" borderId="0"/>
    <xf numFmtId="179" fontId="24" fillId="0" borderId="0"/>
    <xf numFmtId="0" fontId="3" fillId="0" borderId="0"/>
    <xf numFmtId="0" fontId="3" fillId="0" borderId="0"/>
    <xf numFmtId="179" fontId="24" fillId="0" borderId="0"/>
    <xf numFmtId="43" fontId="3" fillId="0" borderId="0" applyFont="0" applyFill="0" applyBorder="0" applyAlignment="0" applyProtection="0"/>
    <xf numFmtId="0" fontId="12" fillId="0" borderId="0" applyNumberFormat="0" applyFill="0" applyBorder="0" applyAlignment="0" applyProtection="0">
      <alignment vertical="top"/>
      <protection locked="0"/>
    </xf>
    <xf numFmtId="184" fontId="32" fillId="0" borderId="0"/>
  </cellStyleXfs>
  <cellXfs count="121">
    <xf numFmtId="0" fontId="0" fillId="0" borderId="0" xfId="0"/>
    <xf numFmtId="0" fontId="3" fillId="0" borderId="0" xfId="0" applyFont="1"/>
    <xf numFmtId="9" fontId="5" fillId="0" borderId="0" xfId="1" applyFont="1"/>
    <xf numFmtId="0" fontId="7" fillId="0" borderId="0" xfId="3" applyFont="1"/>
    <xf numFmtId="0" fontId="3" fillId="0" borderId="0" xfId="3" applyFont="1"/>
    <xf numFmtId="0" fontId="3" fillId="0" borderId="0" xfId="3" applyFont="1" applyAlignment="1">
      <alignment wrapText="1"/>
    </xf>
    <xf numFmtId="0" fontId="13" fillId="0" borderId="0" xfId="3" applyFont="1"/>
    <xf numFmtId="0" fontId="14" fillId="0" borderId="0" xfId="3" applyFont="1" applyAlignment="1">
      <alignment vertical="top"/>
    </xf>
    <xf numFmtId="0" fontId="14" fillId="0" borderId="0" xfId="3" applyFont="1" applyAlignment="1">
      <alignment vertical="top" wrapText="1"/>
    </xf>
    <xf numFmtId="0" fontId="14" fillId="0" borderId="0" xfId="3" applyFont="1"/>
    <xf numFmtId="0" fontId="14" fillId="0" borderId="0" xfId="3" applyFont="1" applyAlignment="1">
      <alignment wrapText="1"/>
    </xf>
    <xf numFmtId="0" fontId="14" fillId="0" borderId="7" xfId="0" applyFont="1" applyFill="1" applyBorder="1"/>
    <xf numFmtId="0" fontId="14" fillId="3" borderId="8" xfId="0" applyFont="1" applyFill="1" applyBorder="1" applyProtection="1">
      <protection locked="0"/>
    </xf>
    <xf numFmtId="0" fontId="14" fillId="0" borderId="4" xfId="0" applyFont="1" applyFill="1" applyBorder="1"/>
    <xf numFmtId="0" fontId="14" fillId="3" borderId="9" xfId="0" applyFont="1" applyFill="1" applyBorder="1" applyProtection="1">
      <protection locked="0"/>
    </xf>
    <xf numFmtId="186" fontId="14" fillId="3" borderId="9" xfId="0" applyNumberFormat="1" applyFont="1" applyFill="1" applyBorder="1" applyAlignment="1" applyProtection="1">
      <alignment horizontal="left"/>
      <protection locked="0"/>
    </xf>
    <xf numFmtId="186" fontId="14" fillId="3" borderId="11" xfId="0" applyNumberFormat="1" applyFont="1" applyFill="1" applyBorder="1" applyAlignment="1" applyProtection="1">
      <alignment horizontal="left"/>
      <protection locked="0"/>
    </xf>
    <xf numFmtId="0" fontId="14" fillId="0" borderId="4" xfId="3" applyFont="1" applyBorder="1"/>
    <xf numFmtId="0" fontId="14" fillId="0" borderId="10" xfId="3" applyFont="1" applyBorder="1"/>
    <xf numFmtId="184" fontId="13" fillId="0" borderId="0" xfId="7" applyFont="1"/>
    <xf numFmtId="184" fontId="14" fillId="0" borderId="0" xfId="7" applyFont="1"/>
    <xf numFmtId="184" fontId="8" fillId="0" borderId="0" xfId="7" applyFont="1" applyAlignment="1">
      <alignment horizontal="center"/>
    </xf>
    <xf numFmtId="184" fontId="13" fillId="0" borderId="0" xfId="7" applyFont="1" applyAlignment="1">
      <alignment horizontal="center"/>
    </xf>
    <xf numFmtId="184" fontId="13" fillId="4" borderId="2" xfId="7" applyFont="1" applyFill="1" applyBorder="1" applyAlignment="1" applyProtection="1">
      <alignment horizontal="center"/>
      <protection hidden="1"/>
    </xf>
    <xf numFmtId="184" fontId="13" fillId="4" borderId="2" xfId="7" applyFont="1" applyFill="1" applyBorder="1" applyAlignment="1" applyProtection="1">
      <alignment horizontal="center" wrapText="1"/>
      <protection hidden="1"/>
    </xf>
    <xf numFmtId="1" fontId="3" fillId="4" borderId="0" xfId="7" applyNumberFormat="1" applyFont="1" applyFill="1" applyBorder="1" applyAlignment="1" applyProtection="1">
      <alignment horizontal="center"/>
      <protection hidden="1"/>
    </xf>
    <xf numFmtId="179" fontId="3" fillId="4" borderId="0" xfId="7" applyNumberFormat="1" applyFont="1" applyFill="1" applyBorder="1" applyProtection="1">
      <protection hidden="1"/>
    </xf>
    <xf numFmtId="179" fontId="3" fillId="4" borderId="12" xfId="7" applyNumberFormat="1" applyFont="1" applyFill="1" applyBorder="1" applyProtection="1">
      <protection hidden="1"/>
    </xf>
    <xf numFmtId="187" fontId="3" fillId="3" borderId="0" xfId="7" applyNumberFormat="1" applyFont="1" applyFill="1" applyAlignment="1" applyProtection="1">
      <alignment horizontal="right"/>
      <protection locked="0"/>
    </xf>
    <xf numFmtId="1" fontId="3" fillId="4" borderId="1" xfId="7" applyNumberFormat="1" applyFont="1" applyFill="1" applyBorder="1" applyAlignment="1" applyProtection="1">
      <alignment horizontal="center"/>
      <protection hidden="1"/>
    </xf>
    <xf numFmtId="179" fontId="3" fillId="4" borderId="1" xfId="7" applyNumberFormat="1" applyFont="1" applyFill="1" applyBorder="1" applyProtection="1">
      <protection hidden="1"/>
    </xf>
    <xf numFmtId="187" fontId="3" fillId="3" borderId="1" xfId="7" applyNumberFormat="1" applyFont="1" applyFill="1" applyBorder="1" applyAlignment="1" applyProtection="1">
      <alignment horizontal="right"/>
      <protection locked="0"/>
    </xf>
    <xf numFmtId="184" fontId="13" fillId="0" borderId="0" xfId="7" applyFont="1" applyAlignment="1" applyProtection="1">
      <alignment horizontal="left"/>
    </xf>
    <xf numFmtId="176" fontId="14" fillId="0" borderId="0" xfId="7" applyNumberFormat="1" applyFont="1"/>
    <xf numFmtId="184" fontId="3" fillId="0" borderId="0" xfId="7" applyFont="1"/>
    <xf numFmtId="184" fontId="19" fillId="4" borderId="12" xfId="7" applyFont="1" applyFill="1" applyBorder="1"/>
    <xf numFmtId="184" fontId="19" fillId="4" borderId="12" xfId="7" applyFont="1" applyFill="1" applyBorder="1" applyAlignment="1">
      <alignment horizontal="center"/>
    </xf>
    <xf numFmtId="184" fontId="19" fillId="4" borderId="0" xfId="7" applyFont="1" applyFill="1" applyBorder="1" applyAlignment="1" applyProtection="1">
      <alignment horizontal="center"/>
    </xf>
    <xf numFmtId="184" fontId="19" fillId="4" borderId="0" xfId="7" applyFont="1" applyFill="1" applyBorder="1" applyAlignment="1">
      <alignment horizontal="center"/>
    </xf>
    <xf numFmtId="184" fontId="14" fillId="4" borderId="1" xfId="7" applyFont="1" applyFill="1" applyBorder="1"/>
    <xf numFmtId="179" fontId="19" fillId="4" borderId="0" xfId="7" applyNumberFormat="1" applyFont="1" applyFill="1" applyBorder="1" applyAlignment="1" applyProtection="1">
      <alignment horizontal="center"/>
    </xf>
    <xf numFmtId="179" fontId="3" fillId="4" borderId="12" xfId="7" applyNumberFormat="1" applyFont="1" applyFill="1" applyBorder="1" applyProtection="1"/>
    <xf numFmtId="179" fontId="3" fillId="4" borderId="0" xfId="7" applyNumberFormat="1" applyFont="1" applyFill="1" applyBorder="1" applyProtection="1"/>
    <xf numFmtId="179" fontId="3" fillId="4" borderId="1" xfId="7" applyNumberFormat="1" applyFont="1" applyFill="1" applyBorder="1" applyProtection="1"/>
    <xf numFmtId="0" fontId="3" fillId="0" borderId="0" xfId="3"/>
    <xf numFmtId="176" fontId="3" fillId="0" borderId="0" xfId="0" applyNumberFormat="1" applyFont="1"/>
    <xf numFmtId="37" fontId="3" fillId="0" borderId="0" xfId="0" applyNumberFormat="1" applyFont="1" applyProtection="1">
      <protection locked="0"/>
    </xf>
    <xf numFmtId="2" fontId="3" fillId="0" borderId="0" xfId="0" applyNumberFormat="1" applyFont="1"/>
    <xf numFmtId="14" fontId="3" fillId="0" borderId="0" xfId="0" applyNumberFormat="1" applyFont="1"/>
    <xf numFmtId="185" fontId="3" fillId="0" borderId="0" xfId="4" applyNumberFormat="1" applyFont="1"/>
    <xf numFmtId="0" fontId="25" fillId="0" borderId="0" xfId="0" applyFont="1"/>
    <xf numFmtId="0" fontId="26" fillId="0" borderId="0" xfId="0" applyFont="1"/>
    <xf numFmtId="1" fontId="3" fillId="0" borderId="0" xfId="0" applyNumberFormat="1" applyFont="1"/>
    <xf numFmtId="17" fontId="3" fillId="0" borderId="0" xfId="0" applyNumberFormat="1" applyFont="1"/>
    <xf numFmtId="1" fontId="27" fillId="0" borderId="2" xfId="0" applyNumberFormat="1" applyFont="1" applyBorder="1" applyAlignment="1" applyProtection="1">
      <alignment horizontal="center"/>
    </xf>
    <xf numFmtId="1" fontId="28" fillId="0" borderId="2" xfId="0" applyNumberFormat="1" applyFont="1" applyBorder="1" applyAlignment="1" applyProtection="1">
      <alignment horizontal="center"/>
    </xf>
    <xf numFmtId="0" fontId="3" fillId="0" borderId="0" xfId="0" applyFont="1" applyAlignment="1">
      <alignment horizontal="center"/>
    </xf>
    <xf numFmtId="0" fontId="5" fillId="0" borderId="0" xfId="0" applyFont="1"/>
    <xf numFmtId="3" fontId="3" fillId="0" borderId="0" xfId="0" applyNumberFormat="1" applyFont="1"/>
    <xf numFmtId="183" fontId="3" fillId="0" borderId="0" xfId="4" applyNumberFormat="1" applyFont="1"/>
    <xf numFmtId="0" fontId="5" fillId="0" borderId="0" xfId="0" applyFont="1" applyAlignment="1">
      <alignment horizontal="center"/>
    </xf>
    <xf numFmtId="182" fontId="3" fillId="0" borderId="0" xfId="1" applyNumberFormat="1" applyFont="1"/>
    <xf numFmtId="0" fontId="30" fillId="0" borderId="0" xfId="0" applyFont="1"/>
    <xf numFmtId="188" fontId="3" fillId="0" borderId="0" xfId="0" applyNumberFormat="1" applyFont="1"/>
    <xf numFmtId="0" fontId="27" fillId="0" borderId="2" xfId="0" applyFont="1" applyBorder="1"/>
    <xf numFmtId="0" fontId="3" fillId="5" borderId="0" xfId="0" applyFont="1" applyFill="1"/>
    <xf numFmtId="1" fontId="3" fillId="5" borderId="0" xfId="0" applyNumberFormat="1" applyFont="1" applyFill="1"/>
    <xf numFmtId="3" fontId="3" fillId="5" borderId="0" xfId="0" applyNumberFormat="1" applyFont="1" applyFill="1"/>
    <xf numFmtId="0" fontId="5" fillId="0" borderId="0" xfId="0" applyFont="1" applyAlignment="1">
      <alignment horizontal="right"/>
    </xf>
    <xf numFmtId="9" fontId="5" fillId="6" borderId="0" xfId="1" applyFont="1" applyFill="1"/>
    <xf numFmtId="0" fontId="27" fillId="0" borderId="2" xfId="0" quotePrefix="1" applyFont="1" applyBorder="1" applyAlignment="1">
      <alignment wrapText="1"/>
    </xf>
    <xf numFmtId="0" fontId="3" fillId="0" borderId="0" xfId="3" applyFont="1" applyBorder="1"/>
    <xf numFmtId="0" fontId="25" fillId="0" borderId="0" xfId="3" applyFont="1"/>
    <xf numFmtId="0" fontId="26" fillId="0" borderId="0" xfId="3" applyFont="1"/>
    <xf numFmtId="0" fontId="3" fillId="5" borderId="0" xfId="3" applyFont="1" applyFill="1"/>
    <xf numFmtId="177" fontId="3" fillId="0" borderId="0" xfId="3" applyNumberFormat="1" applyFont="1" applyAlignment="1" applyProtection="1">
      <alignment horizontal="left"/>
    </xf>
    <xf numFmtId="179" fontId="3" fillId="0" borderId="0" xfId="3" applyNumberFormat="1" applyFont="1" applyProtection="1"/>
    <xf numFmtId="179" fontId="26" fillId="0" borderId="0" xfId="3" applyNumberFormat="1" applyFont="1"/>
    <xf numFmtId="1" fontId="27" fillId="0" borderId="2" xfId="3" applyNumberFormat="1" applyFont="1" applyBorder="1" applyAlignment="1" applyProtection="1">
      <alignment horizontal="center"/>
    </xf>
    <xf numFmtId="1" fontId="28" fillId="0" borderId="2" xfId="3" applyNumberFormat="1" applyFont="1" applyBorder="1" applyAlignment="1" applyProtection="1">
      <alignment horizontal="center" wrapText="1"/>
    </xf>
    <xf numFmtId="0" fontId="5" fillId="0" borderId="2" xfId="3" applyFont="1" applyBorder="1" applyAlignment="1">
      <alignment horizontal="center" wrapText="1"/>
    </xf>
    <xf numFmtId="0" fontId="27" fillId="0" borderId="2" xfId="3" applyFont="1" applyBorder="1" applyAlignment="1">
      <alignment horizontal="center"/>
    </xf>
    <xf numFmtId="0" fontId="5" fillId="0" borderId="2" xfId="3" applyFont="1" applyBorder="1" applyAlignment="1">
      <alignment horizontal="center"/>
    </xf>
    <xf numFmtId="177" fontId="5" fillId="0" borderId="2" xfId="3" applyNumberFormat="1" applyFont="1" applyBorder="1" applyAlignment="1" applyProtection="1">
      <alignment horizontal="center" wrapText="1"/>
    </xf>
    <xf numFmtId="0" fontId="5" fillId="0" borderId="2" xfId="3" applyFont="1" applyBorder="1" applyAlignment="1" applyProtection="1">
      <alignment horizontal="center"/>
    </xf>
    <xf numFmtId="181" fontId="5" fillId="0" borderId="2" xfId="3" applyNumberFormat="1" applyFont="1" applyBorder="1" applyAlignment="1" applyProtection="1">
      <alignment horizontal="center"/>
    </xf>
    <xf numFmtId="178" fontId="5" fillId="0" borderId="2" xfId="3" applyNumberFormat="1" applyFont="1" applyBorder="1" applyAlignment="1" applyProtection="1">
      <alignment horizontal="center"/>
    </xf>
    <xf numFmtId="178" fontId="5" fillId="0" borderId="2" xfId="3" applyNumberFormat="1" applyFont="1" applyBorder="1" applyAlignment="1" applyProtection="1">
      <alignment horizontal="center" wrapText="1"/>
    </xf>
    <xf numFmtId="0" fontId="3" fillId="0" borderId="0" xfId="3" applyFont="1" applyAlignment="1">
      <alignment horizontal="center"/>
    </xf>
    <xf numFmtId="0" fontId="5" fillId="0" borderId="0" xfId="3" applyFont="1"/>
    <xf numFmtId="183" fontId="3" fillId="0" borderId="0" xfId="14" applyNumberFormat="1" applyFont="1"/>
    <xf numFmtId="188" fontId="3" fillId="6" borderId="0" xfId="3" applyNumberFormat="1" applyFont="1" applyFill="1"/>
    <xf numFmtId="188" fontId="3" fillId="0" borderId="0" xfId="3" applyNumberFormat="1" applyFont="1"/>
    <xf numFmtId="177" fontId="3" fillId="0" borderId="0" xfId="3" applyNumberFormat="1" applyFont="1" applyProtection="1"/>
    <xf numFmtId="181" fontId="3" fillId="6" borderId="0" xfId="3" applyNumberFormat="1" applyFont="1" applyFill="1" applyProtection="1"/>
    <xf numFmtId="187" fontId="3" fillId="0" borderId="0" xfId="3" applyNumberFormat="1" applyFont="1" applyProtection="1"/>
    <xf numFmtId="189" fontId="3" fillId="6" borderId="0" xfId="3" applyNumberFormat="1" applyFont="1" applyFill="1" applyProtection="1"/>
    <xf numFmtId="179" fontId="3" fillId="6" borderId="0" xfId="3" applyNumberFormat="1" applyFont="1" applyFill="1" applyProtection="1"/>
    <xf numFmtId="0" fontId="31" fillId="0" borderId="0" xfId="3" applyFont="1" applyAlignment="1">
      <alignment horizontal="center"/>
    </xf>
    <xf numFmtId="0" fontId="1" fillId="0" borderId="0" xfId="3" applyFont="1" applyBorder="1"/>
    <xf numFmtId="0" fontId="1" fillId="0" borderId="0" xfId="3" applyFont="1"/>
    <xf numFmtId="0" fontId="2" fillId="0" borderId="0" xfId="3" applyFont="1"/>
    <xf numFmtId="190" fontId="5" fillId="0" borderId="0" xfId="4" applyNumberFormat="1" applyFont="1"/>
    <xf numFmtId="180" fontId="3" fillId="0" borderId="0" xfId="3" applyNumberFormat="1" applyFont="1"/>
    <xf numFmtId="9" fontId="3" fillId="0" borderId="0" xfId="1" applyFont="1"/>
    <xf numFmtId="0" fontId="14" fillId="0" borderId="0" xfId="3" applyFont="1" applyAlignment="1"/>
    <xf numFmtId="0" fontId="14" fillId="0" borderId="0" xfId="0" applyFont="1" applyFill="1" applyBorder="1" applyProtection="1">
      <protection locked="0"/>
    </xf>
    <xf numFmtId="0" fontId="14" fillId="0" borderId="0" xfId="3" applyFont="1" applyAlignment="1">
      <alignment horizontal="left" vertical="top" wrapText="1"/>
    </xf>
    <xf numFmtId="184" fontId="14" fillId="0" borderId="0" xfId="16" applyFont="1" applyAlignment="1">
      <alignment wrapText="1"/>
    </xf>
    <xf numFmtId="0" fontId="27" fillId="0" borderId="2" xfId="0" applyFont="1" applyBorder="1" applyAlignment="1">
      <alignment horizontal="center" wrapText="1"/>
    </xf>
    <xf numFmtId="0" fontId="3" fillId="0" borderId="0" xfId="3" applyFont="1" applyAlignment="1">
      <alignment horizontal="right"/>
    </xf>
    <xf numFmtId="0" fontId="8" fillId="4" borderId="2" xfId="3" applyFont="1" applyFill="1" applyBorder="1" applyAlignment="1" applyProtection="1">
      <alignment horizontal="center"/>
      <protection hidden="1"/>
    </xf>
    <xf numFmtId="177" fontId="5" fillId="0" borderId="2" xfId="3" applyNumberFormat="1" applyFont="1" applyBorder="1" applyAlignment="1" applyProtection="1">
      <alignment horizontal="center" vertical="center" wrapText="1"/>
    </xf>
    <xf numFmtId="0" fontId="13" fillId="2" borderId="3" xfId="6" applyFont="1" applyFill="1" applyBorder="1" applyAlignment="1">
      <alignment horizontal="center"/>
    </xf>
    <xf numFmtId="0" fontId="3" fillId="0" borderId="0" xfId="3"/>
    <xf numFmtId="0" fontId="14" fillId="0" borderId="0" xfId="6" applyFont="1" applyFill="1" applyAlignment="1">
      <alignment horizontal="left"/>
    </xf>
    <xf numFmtId="0" fontId="15" fillId="0" borderId="0" xfId="5" applyFont="1" applyFill="1" applyBorder="1" applyAlignment="1" applyProtection="1">
      <alignment horizontal="left"/>
      <protection locked="0"/>
    </xf>
    <xf numFmtId="0" fontId="14" fillId="0" borderId="0" xfId="0" applyFont="1" applyFill="1" applyBorder="1" applyAlignment="1" applyProtection="1">
      <alignment horizontal="left"/>
      <protection locked="0"/>
    </xf>
    <xf numFmtId="0" fontId="14" fillId="0" borderId="0" xfId="3" applyFont="1" applyAlignment="1">
      <alignment horizontal="left" vertical="top" wrapText="1"/>
    </xf>
    <xf numFmtId="0" fontId="13" fillId="0" borderId="5" xfId="0" applyFont="1" applyBorder="1" applyAlignment="1">
      <alignment horizontal="center"/>
    </xf>
    <xf numFmtId="0" fontId="13" fillId="0" borderId="6" xfId="0" applyFont="1" applyBorder="1" applyAlignment="1">
      <alignment horizontal="center"/>
    </xf>
  </cellXfs>
  <cellStyles count="17">
    <cellStyle name="Comma" xfId="4" builtinId="3"/>
    <cellStyle name="Comma 2" xfId="14"/>
    <cellStyle name="Comma 3" xfId="8"/>
    <cellStyle name="Hyperlink" xfId="5" builtinId="8"/>
    <cellStyle name="Hyperlink 3" xfId="15"/>
    <cellStyle name="Normal" xfId="0" builtinId="0"/>
    <cellStyle name="Normal 2" xfId="3"/>
    <cellStyle name="Normal 2 2" xfId="2"/>
    <cellStyle name="Normal 2 3" xfId="9"/>
    <cellStyle name="Normal 2 4" xfId="10"/>
    <cellStyle name="Normal 3" xfId="7"/>
    <cellStyle name="Normal 3 2" xfId="11"/>
    <cellStyle name="Normal 3 2 2" xfId="6"/>
    <cellStyle name="Normal 3 3" xfId="12"/>
    <cellStyle name="Normal 4" xfId="13"/>
    <cellStyle name="Normal 5" xfId="16"/>
    <cellStyle name="Percent" xfId="1" builtinId="5"/>
  </cellStyles>
  <dxfs count="0"/>
  <tableStyles count="0" defaultTableStyle="TableStyleMedium9" defaultPivotStyle="PivotStyleLight16"/>
  <colors>
    <mruColors>
      <color rgb="FFFFEB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9906345948233212"/>
          <c:y val="8.7542375389230015E-2"/>
          <c:w val="0.74238960771645368"/>
          <c:h val="0.64309975766703475"/>
        </c:manualLayout>
      </c:layout>
      <c:scatterChart>
        <c:scatterStyle val="lineMarker"/>
        <c:varyColors val="0"/>
        <c:ser>
          <c:idx val="0"/>
          <c:order val="0"/>
          <c:tx>
            <c:v>观测值</c:v>
          </c:tx>
          <c:spPr>
            <a:ln w="28575">
              <a:noFill/>
            </a:ln>
          </c:spPr>
          <c:marker>
            <c:symbol val="diamond"/>
            <c:size val="5"/>
            <c:spPr>
              <a:solidFill>
                <a:srgbClr val="000080"/>
              </a:solidFill>
              <a:ln>
                <a:solidFill>
                  <a:srgbClr val="000080"/>
                </a:solidFill>
                <a:prstDash val="solid"/>
              </a:ln>
            </c:spPr>
          </c:marker>
          <c:xVal>
            <c:numRef>
              <c:f>Method!$O$8:$O$24</c:f>
              <c:numCache>
                <c:formatCode>0.00000</c:formatCode>
                <c:ptCount val="17"/>
                <c:pt idx="0">
                  <c:v>0</c:v>
                </c:pt>
                <c:pt idx="1">
                  <c:v>1.1707510982362879E-2</c:v>
                </c:pt>
                <c:pt idx="2">
                  <c:v>1.2991767237806396E-2</c:v>
                </c:pt>
                <c:pt idx="3">
                  <c:v>1.4768059038362593E-2</c:v>
                </c:pt>
                <c:pt idx="4">
                  <c:v>1.6920515969203277E-2</c:v>
                </c:pt>
                <c:pt idx="5">
                  <c:v>1.8680864118397266E-2</c:v>
                </c:pt>
                <c:pt idx="6">
                  <c:v>1.962782838179733E-2</c:v>
                </c:pt>
                <c:pt idx="7">
                  <c:v>2.0143440254876771E-2</c:v>
                </c:pt>
                <c:pt idx="8">
                  <c:v>2.129485880471433E-2</c:v>
                </c:pt>
                <c:pt idx="9">
                  <c:v>2.3280761781570264E-2</c:v>
                </c:pt>
                <c:pt idx="10">
                  <c:v>2.6427922553521586E-2</c:v>
                </c:pt>
                <c:pt idx="11">
                  <c:v>3.0308588903229627E-2</c:v>
                </c:pt>
                <c:pt idx="12">
                  <c:v>3.5896048933186667E-2</c:v>
                </c:pt>
                <c:pt idx="13">
                  <c:v>4.2463567072542577E-2</c:v>
                </c:pt>
                <c:pt idx="14">
                  <c:v>5.2080859949530017E-2</c:v>
                </c:pt>
                <c:pt idx="15">
                  <c:v>6.6377109859653269E-2</c:v>
                </c:pt>
                <c:pt idx="16">
                  <c:v>8.6111759523579398E-2</c:v>
                </c:pt>
              </c:numCache>
            </c:numRef>
          </c:xVal>
          <c:yVal>
            <c:numRef>
              <c:f>Method!$P$8:$P$24</c:f>
              <c:numCache>
                <c:formatCode>0.00000</c:formatCode>
                <c:ptCount val="17"/>
                <c:pt idx="1">
                  <c:v>1.0715767484464844E-2</c:v>
                </c:pt>
                <c:pt idx="2">
                  <c:v>1.4027621775447438E-2</c:v>
                </c:pt>
                <c:pt idx="3">
                  <c:v>1.6441203473426591E-2</c:v>
                </c:pt>
                <c:pt idx="4">
                  <c:v>1.841017085377368E-2</c:v>
                </c:pt>
                <c:pt idx="5">
                  <c:v>1.9196178517321291E-2</c:v>
                </c:pt>
                <c:pt idx="6">
                  <c:v>1.9562395088630339E-2</c:v>
                </c:pt>
                <c:pt idx="7">
                  <c:v>2.0334539287098594E-2</c:v>
                </c:pt>
                <c:pt idx="8">
                  <c:v>2.2376678919907512E-2</c:v>
                </c:pt>
                <c:pt idx="9">
                  <c:v>2.450242856767252E-2</c:v>
                </c:pt>
                <c:pt idx="10">
                  <c:v>2.7962119640454482E-2</c:v>
                </c:pt>
                <c:pt idx="11">
                  <c:v>3.3972209490281763E-2</c:v>
                </c:pt>
                <c:pt idx="12">
                  <c:v>4.3069847484765889E-2</c:v>
                </c:pt>
                <c:pt idx="13">
                  <c:v>5.5637510685865525E-2</c:v>
                </c:pt>
                <c:pt idx="14">
                  <c:v>6.9112664163856113E-2</c:v>
                </c:pt>
                <c:pt idx="15">
                  <c:v>8.7533908747943853E-2</c:v>
                </c:pt>
                <c:pt idx="16">
                  <c:v>0.10890122344079917</c:v>
                </c:pt>
              </c:numCache>
            </c:numRef>
          </c:yVal>
          <c:smooth val="0"/>
          <c:extLst>
            <c:ext xmlns:c16="http://schemas.microsoft.com/office/drawing/2014/chart" uri="{C3380CC4-5D6E-409C-BE32-E72D297353CC}">
              <c16:uniqueId val="{00000000-A984-4920-AFE2-37F75AF0DE6A}"/>
            </c:ext>
          </c:extLst>
        </c:ser>
        <c:ser>
          <c:idx val="1"/>
          <c:order val="1"/>
          <c:tx>
            <c:v>拟合值</c:v>
          </c:tx>
          <c:spPr>
            <a:ln w="12700">
              <a:solidFill>
                <a:srgbClr val="FF00FF"/>
              </a:solidFill>
              <a:prstDash val="solid"/>
            </a:ln>
          </c:spPr>
          <c:marker>
            <c:symbol val="none"/>
          </c:marker>
          <c:xVal>
            <c:numRef>
              <c:f>Method!$O$8:$O$24</c:f>
              <c:numCache>
                <c:formatCode>0.00000</c:formatCode>
                <c:ptCount val="17"/>
                <c:pt idx="0">
                  <c:v>0</c:v>
                </c:pt>
                <c:pt idx="1">
                  <c:v>1.1707510982362879E-2</c:v>
                </c:pt>
                <c:pt idx="2">
                  <c:v>1.2991767237806396E-2</c:v>
                </c:pt>
                <c:pt idx="3">
                  <c:v>1.4768059038362593E-2</c:v>
                </c:pt>
                <c:pt idx="4">
                  <c:v>1.6920515969203277E-2</c:v>
                </c:pt>
                <c:pt idx="5">
                  <c:v>1.8680864118397266E-2</c:v>
                </c:pt>
                <c:pt idx="6">
                  <c:v>1.962782838179733E-2</c:v>
                </c:pt>
                <c:pt idx="7">
                  <c:v>2.0143440254876771E-2</c:v>
                </c:pt>
                <c:pt idx="8">
                  <c:v>2.129485880471433E-2</c:v>
                </c:pt>
                <c:pt idx="9">
                  <c:v>2.3280761781570264E-2</c:v>
                </c:pt>
                <c:pt idx="10">
                  <c:v>2.6427922553521586E-2</c:v>
                </c:pt>
                <c:pt idx="11">
                  <c:v>3.0308588903229627E-2</c:v>
                </c:pt>
                <c:pt idx="12">
                  <c:v>3.5896048933186667E-2</c:v>
                </c:pt>
                <c:pt idx="13">
                  <c:v>4.2463567072542577E-2</c:v>
                </c:pt>
                <c:pt idx="14">
                  <c:v>5.2080859949530017E-2</c:v>
                </c:pt>
                <c:pt idx="15">
                  <c:v>6.6377109859653269E-2</c:v>
                </c:pt>
                <c:pt idx="16">
                  <c:v>8.6111759523579398E-2</c:v>
                </c:pt>
              </c:numCache>
            </c:numRef>
          </c:xVal>
          <c:yVal>
            <c:numRef>
              <c:f>Method!$Q$8:$Q$24</c:f>
              <c:numCache>
                <c:formatCode>0.0000</c:formatCode>
                <c:ptCount val="17"/>
                <c:pt idx="0">
                  <c:v>-5.8515026006751986E-3</c:v>
                </c:pt>
                <c:pt idx="1">
                  <c:v>1.0226233055636757E-2</c:v>
                </c:pt>
                <c:pt idx="2">
                  <c:v>1.1989881419588035E-2</c:v>
                </c:pt>
                <c:pt idx="3">
                  <c:v>1.4429234247088269E-2</c:v>
                </c:pt>
                <c:pt idx="4">
                  <c:v>1.7385168569745514E-2</c:v>
                </c:pt>
                <c:pt idx="5">
                  <c:v>1.980262623845545E-2</c:v>
                </c:pt>
                <c:pt idx="6">
                  <c:v>2.110307695986469E-2</c:v>
                </c:pt>
                <c:pt idx="7">
                  <c:v>2.1811158413652401E-2</c:v>
                </c:pt>
                <c:pt idx="8">
                  <c:v>2.3392382902952525E-2</c:v>
                </c:pt>
                <c:pt idx="9">
                  <c:v>2.6119591371863878E-2</c:v>
                </c:pt>
                <c:pt idx="10">
                  <c:v>3.0441536406600529E-2</c:v>
                </c:pt>
                <c:pt idx="11">
                  <c:v>3.5770792798923687E-2</c:v>
                </c:pt>
                <c:pt idx="12">
                  <c:v>4.3443961373114286E-2</c:v>
                </c:pt>
                <c:pt idx="13">
                  <c:v>5.2463027912677512E-2</c:v>
                </c:pt>
                <c:pt idx="14">
                  <c:v>6.5670300819657842E-2</c:v>
                </c:pt>
                <c:pt idx="15">
                  <c:v>8.5303109815336037E-2</c:v>
                </c:pt>
                <c:pt idx="16">
                  <c:v>0.11240438531655217</c:v>
                </c:pt>
              </c:numCache>
            </c:numRef>
          </c:yVal>
          <c:smooth val="0"/>
          <c:extLst>
            <c:ext xmlns:c16="http://schemas.microsoft.com/office/drawing/2014/chart" uri="{C3380CC4-5D6E-409C-BE32-E72D297353CC}">
              <c16:uniqueId val="{00000001-A984-4920-AFE2-37F75AF0DE6A}"/>
            </c:ext>
          </c:extLst>
        </c:ser>
        <c:dLbls>
          <c:showLegendKey val="0"/>
          <c:showVal val="0"/>
          <c:showCatName val="0"/>
          <c:showSerName val="0"/>
          <c:showPercent val="0"/>
          <c:showBubbleSize val="0"/>
        </c:dLbls>
        <c:axId val="140192000"/>
        <c:axId val="140210560"/>
      </c:scatterChart>
      <c:valAx>
        <c:axId val="140192000"/>
        <c:scaling>
          <c:orientation val="minMax"/>
        </c:scaling>
        <c:delete val="0"/>
        <c:axPos val="b"/>
        <c:title>
          <c:tx>
            <c:rich>
              <a:bodyPr/>
              <a:lstStyle/>
              <a:p>
                <a:pPr>
                  <a:defRPr sz="875" b="1" i="0" u="none" strike="noStrike" baseline="0">
                    <a:solidFill>
                      <a:srgbClr val="000000"/>
                    </a:solidFill>
                    <a:latin typeface="Arial"/>
                    <a:ea typeface="Arial"/>
                    <a:cs typeface="Arial"/>
                  </a:defRPr>
                </a:pPr>
                <a:r>
                  <a:rPr lang="en-ZA"/>
                  <a:t>d(x+)</a:t>
                </a:r>
              </a:p>
            </c:rich>
          </c:tx>
          <c:layout>
            <c:manualLayout>
              <c:xMode val="edge"/>
              <c:yMode val="edge"/>
              <c:x val="0.53161641680035898"/>
              <c:y val="0.78451425894994997"/>
            </c:manualLayout>
          </c:layout>
          <c:overlay val="0"/>
          <c:spPr>
            <a:noFill/>
            <a:ln w="25400">
              <a:noFill/>
            </a:ln>
          </c:spPr>
        </c:title>
        <c:numFmt formatCode="0.000" sourceLinked="0"/>
        <c:majorTickMark val="out"/>
        <c:minorTickMark val="none"/>
        <c:tickLblPos val="nextTo"/>
        <c:spPr>
          <a:ln w="3175">
            <a:solidFill>
              <a:srgbClr val="000000"/>
            </a:solidFill>
            <a:prstDash val="solid"/>
          </a:ln>
        </c:spPr>
        <c:txPr>
          <a:bodyPr rot="-5400000" vert="horz"/>
          <a:lstStyle/>
          <a:p>
            <a:pPr>
              <a:defRPr sz="875" b="0" i="0" u="none" strike="noStrike" baseline="0">
                <a:solidFill>
                  <a:srgbClr val="000000"/>
                </a:solidFill>
                <a:latin typeface="Arial"/>
                <a:ea typeface="Arial"/>
                <a:cs typeface="Arial"/>
              </a:defRPr>
            </a:pPr>
            <a:endParaRPr lang="zh-CN"/>
          </a:p>
        </c:txPr>
        <c:crossAx val="140210560"/>
        <c:crosses val="autoZero"/>
        <c:crossBetween val="midCat"/>
      </c:valAx>
      <c:valAx>
        <c:axId val="140210560"/>
        <c:scaling>
          <c:orientation val="minMax"/>
        </c:scaling>
        <c:delete val="0"/>
        <c:axPos val="l"/>
        <c:majorGridlines>
          <c:spPr>
            <a:ln w="3175">
              <a:solidFill>
                <a:srgbClr val="000000"/>
              </a:solidFill>
              <a:prstDash val="solid"/>
            </a:ln>
          </c:spPr>
        </c:majorGridlines>
        <c:title>
          <c:tx>
            <c:rich>
              <a:bodyPr/>
              <a:lstStyle/>
              <a:p>
                <a:pPr>
                  <a:defRPr sz="875" b="1" i="0" u="none" strike="noStrike" baseline="0">
                    <a:solidFill>
                      <a:srgbClr val="000000"/>
                    </a:solidFill>
                    <a:latin typeface="Arial"/>
                    <a:ea typeface="Arial"/>
                    <a:cs typeface="Arial"/>
                  </a:defRPr>
                </a:pPr>
                <a:r>
                  <a:rPr lang="en-ZA"/>
                  <a:t>n(x+)-r(x+)+i(x+)</a:t>
                </a:r>
              </a:p>
            </c:rich>
          </c:tx>
          <c:layout>
            <c:manualLayout>
              <c:xMode val="edge"/>
              <c:yMode val="edge"/>
              <c:x val="3.7470725995316242E-2"/>
              <c:y val="0.29966436013680414"/>
            </c:manualLayout>
          </c:layout>
          <c:overlay val="0"/>
          <c:spPr>
            <a:noFill/>
            <a:ln w="25400">
              <a:noFill/>
            </a:ln>
          </c:spPr>
        </c:title>
        <c:numFmt formatCode="0.000" sourceLinked="0"/>
        <c:majorTickMark val="out"/>
        <c:minorTickMark val="none"/>
        <c:tickLblPos val="nextTo"/>
        <c:spPr>
          <a:ln w="3175">
            <a:solidFill>
              <a:srgbClr val="000000"/>
            </a:solidFill>
            <a:prstDash val="solid"/>
          </a:ln>
        </c:spPr>
        <c:txPr>
          <a:bodyPr rot="0" vert="horz"/>
          <a:lstStyle/>
          <a:p>
            <a:pPr>
              <a:defRPr sz="875" b="0" i="0" u="none" strike="noStrike" baseline="0">
                <a:solidFill>
                  <a:srgbClr val="000000"/>
                </a:solidFill>
                <a:latin typeface="Arial"/>
                <a:ea typeface="Arial"/>
                <a:cs typeface="Arial"/>
              </a:defRPr>
            </a:pPr>
            <a:endParaRPr lang="zh-CN"/>
          </a:p>
        </c:txPr>
        <c:crossAx val="140192000"/>
        <c:crosses val="autoZero"/>
        <c:crossBetween val="midCat"/>
      </c:valAx>
      <c:spPr>
        <a:noFill/>
        <a:ln w="12700">
          <a:solidFill>
            <a:srgbClr val="808080"/>
          </a:solidFill>
          <a:prstDash val="solid"/>
        </a:ln>
      </c:spPr>
    </c:plotArea>
    <c:legend>
      <c:legendPos val="b"/>
      <c:layout>
        <c:manualLayout>
          <c:xMode val="edge"/>
          <c:yMode val="edge"/>
          <c:x val="0.41686231843970556"/>
          <c:y val="0.89899272691923549"/>
          <c:w val="0.30444989458285288"/>
          <c:h val="7.7441430932245175E-2"/>
        </c:manualLayout>
      </c:layout>
      <c:overlay val="0"/>
      <c:spPr>
        <a:solidFill>
          <a:srgbClr val="FFFFFF"/>
        </a:solidFill>
        <a:ln w="3175">
          <a:solidFill>
            <a:srgbClr val="000000"/>
          </a:solidFill>
          <a:prstDash val="solid"/>
        </a:ln>
      </c:spPr>
      <c:txPr>
        <a:bodyPr/>
        <a:lstStyle/>
        <a:p>
          <a:pPr>
            <a:defRPr sz="680" b="0" i="0" u="none" strike="noStrike" baseline="0">
              <a:solidFill>
                <a:srgbClr val="000000"/>
              </a:solidFill>
              <a:latin typeface="Arial"/>
              <a:ea typeface="Arial"/>
              <a:cs typeface="Arial"/>
            </a:defRPr>
          </a:pPr>
          <a:endParaRPr lang="zh-CN"/>
        </a:p>
      </c:txPr>
    </c:legend>
    <c:plotVisOnly val="1"/>
    <c:dispBlanksAs val="gap"/>
    <c:showDLblsOverMax val="0"/>
  </c:chart>
  <c:spPr>
    <a:solidFill>
      <a:srgbClr val="FFFFFF"/>
    </a:solidFill>
    <a:ln w="3175">
      <a:solidFill>
        <a:srgbClr val="000000"/>
      </a:solidFill>
      <a:prstDash val="solid"/>
    </a:ln>
  </c:spPr>
  <c:txPr>
    <a:bodyPr/>
    <a:lstStyle/>
    <a:p>
      <a:pPr>
        <a:defRPr sz="875" b="0" i="0" u="none" strike="noStrike" baseline="0">
          <a:solidFill>
            <a:srgbClr val="000000"/>
          </a:solidFill>
          <a:latin typeface="Arial"/>
          <a:ea typeface="Arial"/>
          <a:cs typeface="Arial"/>
        </a:defRPr>
      </a:pPr>
      <a:endParaRPr lang="zh-CN"/>
    </a:p>
  </c:txPr>
  <c:printSettings>
    <c:headerFooter alignWithMargins="0"/>
    <c:pageMargins b="1" l="0.75000000000000422" r="0.75000000000000422"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75" b="0" i="0" u="none" strike="noStrike" baseline="0">
                <a:solidFill>
                  <a:srgbClr val="000000"/>
                </a:solidFill>
                <a:latin typeface="Arial"/>
                <a:ea typeface="Arial"/>
                <a:cs typeface="Arial"/>
              </a:defRPr>
            </a:pPr>
            <a:r>
              <a:rPr lang="zh-CN" altLang="en-US"/>
              <a:t>残差</a:t>
            </a:r>
            <a:endParaRPr lang="en-US"/>
          </a:p>
        </c:rich>
      </c:tx>
      <c:layout>
        <c:manualLayout>
          <c:xMode val="edge"/>
          <c:yMode val="edge"/>
          <c:x val="0.43023304645058585"/>
          <c:y val="3.6666666666666681E-2"/>
        </c:manualLayout>
      </c:layout>
      <c:overlay val="0"/>
      <c:spPr>
        <a:noFill/>
        <a:ln w="25400">
          <a:noFill/>
        </a:ln>
      </c:spPr>
    </c:title>
    <c:autoTitleDeleted val="0"/>
    <c:plotArea>
      <c:layout>
        <c:manualLayout>
          <c:layoutTarget val="inner"/>
          <c:xMode val="edge"/>
          <c:yMode val="edge"/>
          <c:x val="0.14418621024051817"/>
          <c:y val="0.20000065104378587"/>
          <c:w val="0.79767532439513122"/>
          <c:h val="0.71666899957357133"/>
        </c:manualLayout>
      </c:layout>
      <c:scatterChart>
        <c:scatterStyle val="lineMarker"/>
        <c:varyColors val="0"/>
        <c:ser>
          <c:idx val="0"/>
          <c:order val="0"/>
          <c:tx>
            <c:v>Residuals</c:v>
          </c:tx>
          <c:spPr>
            <a:ln w="12700">
              <a:solidFill>
                <a:srgbClr val="000080"/>
              </a:solidFill>
              <a:prstDash val="solid"/>
            </a:ln>
          </c:spPr>
          <c:marker>
            <c:symbol val="diamond"/>
            <c:size val="5"/>
            <c:spPr>
              <a:solidFill>
                <a:srgbClr val="000080"/>
              </a:solidFill>
              <a:ln>
                <a:solidFill>
                  <a:srgbClr val="000080"/>
                </a:solidFill>
                <a:prstDash val="solid"/>
              </a:ln>
            </c:spPr>
          </c:marker>
          <c:xVal>
            <c:numRef>
              <c:f>Method!$O$9:$O$24</c:f>
              <c:numCache>
                <c:formatCode>0.00000</c:formatCode>
                <c:ptCount val="16"/>
                <c:pt idx="0">
                  <c:v>1.1707510982362879E-2</c:v>
                </c:pt>
                <c:pt idx="1">
                  <c:v>1.2991767237806396E-2</c:v>
                </c:pt>
                <c:pt idx="2">
                  <c:v>1.4768059038362593E-2</c:v>
                </c:pt>
                <c:pt idx="3">
                  <c:v>1.6920515969203277E-2</c:v>
                </c:pt>
                <c:pt idx="4">
                  <c:v>1.8680864118397266E-2</c:v>
                </c:pt>
                <c:pt idx="5">
                  <c:v>1.962782838179733E-2</c:v>
                </c:pt>
                <c:pt idx="6">
                  <c:v>2.0143440254876771E-2</c:v>
                </c:pt>
                <c:pt idx="7">
                  <c:v>2.129485880471433E-2</c:v>
                </c:pt>
                <c:pt idx="8">
                  <c:v>2.3280761781570264E-2</c:v>
                </c:pt>
                <c:pt idx="9">
                  <c:v>2.6427922553521586E-2</c:v>
                </c:pt>
                <c:pt idx="10">
                  <c:v>3.0308588903229627E-2</c:v>
                </c:pt>
                <c:pt idx="11">
                  <c:v>3.5896048933186667E-2</c:v>
                </c:pt>
                <c:pt idx="12">
                  <c:v>4.2463567072542577E-2</c:v>
                </c:pt>
                <c:pt idx="13">
                  <c:v>5.2080859949530017E-2</c:v>
                </c:pt>
                <c:pt idx="14">
                  <c:v>6.6377109859653269E-2</c:v>
                </c:pt>
                <c:pt idx="15">
                  <c:v>8.6111759523579398E-2</c:v>
                </c:pt>
              </c:numCache>
            </c:numRef>
          </c:xVal>
          <c:yVal>
            <c:numRef>
              <c:f>Method!$R$9:$R$24</c:f>
              <c:numCache>
                <c:formatCode>0.0000</c:formatCode>
                <c:ptCount val="16"/>
                <c:pt idx="0">
                  <c:v>4.8953442882808743E-4</c:v>
                </c:pt>
                <c:pt idx="1">
                  <c:v>2.0377403558594024E-3</c:v>
                </c:pt>
                <c:pt idx="2">
                  <c:v>2.011969226338322E-3</c:v>
                </c:pt>
                <c:pt idx="3">
                  <c:v>1.0250022840281661E-3</c:v>
                </c:pt>
                <c:pt idx="4">
                  <c:v>-6.0644772113415887E-4</c:v>
                </c:pt>
                <c:pt idx="5">
                  <c:v>-1.5406818712343506E-3</c:v>
                </c:pt>
                <c:pt idx="6">
                  <c:v>-1.4766191265538076E-3</c:v>
                </c:pt>
                <c:pt idx="7">
                  <c:v>-1.0157039830450132E-3</c:v>
                </c:pt>
                <c:pt idx="8">
                  <c:v>-1.6171628041913577E-3</c:v>
                </c:pt>
                <c:pt idx="9">
                  <c:v>-2.4794167661460476E-3</c:v>
                </c:pt>
                <c:pt idx="10">
                  <c:v>-1.798583308641924E-3</c:v>
                </c:pt>
                <c:pt idx="11">
                  <c:v>-3.7411388834839715E-4</c:v>
                </c:pt>
                <c:pt idx="12">
                  <c:v>3.1744827731880129E-3</c:v>
                </c:pt>
                <c:pt idx="13">
                  <c:v>3.4423633441982709E-3</c:v>
                </c:pt>
                <c:pt idx="14">
                  <c:v>2.2307989326078165E-3</c:v>
                </c:pt>
                <c:pt idx="15">
                  <c:v>-3.5031618757530025E-3</c:v>
                </c:pt>
              </c:numCache>
            </c:numRef>
          </c:yVal>
          <c:smooth val="0"/>
          <c:extLst>
            <c:ext xmlns:c16="http://schemas.microsoft.com/office/drawing/2014/chart" uri="{C3380CC4-5D6E-409C-BE32-E72D297353CC}">
              <c16:uniqueId val="{00000000-FF3F-43A0-AEB8-957B8BD4CB16}"/>
            </c:ext>
          </c:extLst>
        </c:ser>
        <c:dLbls>
          <c:showLegendKey val="0"/>
          <c:showVal val="0"/>
          <c:showCatName val="0"/>
          <c:showSerName val="0"/>
          <c:showPercent val="0"/>
          <c:showBubbleSize val="0"/>
        </c:dLbls>
        <c:axId val="140238848"/>
        <c:axId val="140240768"/>
      </c:scatterChart>
      <c:valAx>
        <c:axId val="140238848"/>
        <c:scaling>
          <c:orientation val="minMax"/>
        </c:scaling>
        <c:delete val="0"/>
        <c:axPos val="b"/>
        <c:numFmt formatCode="0.000" sourceLinked="0"/>
        <c:majorTickMark val="out"/>
        <c:minorTickMark val="none"/>
        <c:tickLblPos val="nextTo"/>
        <c:spPr>
          <a:ln w="3175">
            <a:solidFill>
              <a:srgbClr val="000000"/>
            </a:solidFill>
            <a:prstDash val="solid"/>
          </a:ln>
        </c:spPr>
        <c:txPr>
          <a:bodyPr rot="-5400000" vert="horz"/>
          <a:lstStyle/>
          <a:p>
            <a:pPr>
              <a:defRPr sz="875" b="0" i="0" u="none" strike="noStrike" baseline="0">
                <a:solidFill>
                  <a:srgbClr val="000000"/>
                </a:solidFill>
                <a:latin typeface="Arial"/>
                <a:ea typeface="Arial"/>
                <a:cs typeface="Arial"/>
              </a:defRPr>
            </a:pPr>
            <a:endParaRPr lang="zh-CN"/>
          </a:p>
        </c:txPr>
        <c:crossAx val="140240768"/>
        <c:crosses val="autoZero"/>
        <c:crossBetween val="midCat"/>
      </c:valAx>
      <c:valAx>
        <c:axId val="140240768"/>
        <c:scaling>
          <c:orientation val="minMax"/>
        </c:scaling>
        <c:delete val="0"/>
        <c:axPos val="l"/>
        <c:majorGridlines>
          <c:spPr>
            <a:ln w="3175">
              <a:solidFill>
                <a:srgbClr val="000000"/>
              </a:solidFill>
              <a:prstDash val="solid"/>
            </a:ln>
          </c:spPr>
        </c:majorGridlines>
        <c:numFmt formatCode="0.000" sourceLinked="0"/>
        <c:majorTickMark val="out"/>
        <c:minorTickMark val="none"/>
        <c:tickLblPos val="nextTo"/>
        <c:spPr>
          <a:ln w="3175">
            <a:solidFill>
              <a:srgbClr val="000000"/>
            </a:solidFill>
            <a:prstDash val="solid"/>
          </a:ln>
        </c:spPr>
        <c:txPr>
          <a:bodyPr rot="0" vert="horz"/>
          <a:lstStyle/>
          <a:p>
            <a:pPr>
              <a:defRPr sz="875" b="0" i="0" u="none" strike="noStrike" baseline="0">
                <a:solidFill>
                  <a:srgbClr val="000000"/>
                </a:solidFill>
                <a:latin typeface="Arial"/>
                <a:ea typeface="Arial"/>
                <a:cs typeface="Arial"/>
              </a:defRPr>
            </a:pPr>
            <a:endParaRPr lang="zh-CN"/>
          </a:p>
        </c:txPr>
        <c:crossAx val="140238848"/>
        <c:crosses val="autoZero"/>
        <c:crossBetween val="midCat"/>
      </c:valAx>
      <c:spPr>
        <a:no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75" b="0" i="0" u="none" strike="noStrike" baseline="0">
          <a:solidFill>
            <a:srgbClr val="000000"/>
          </a:solidFill>
          <a:latin typeface="Arial"/>
          <a:ea typeface="Arial"/>
          <a:cs typeface="Arial"/>
        </a:defRPr>
      </a:pPr>
      <a:endParaRPr lang="zh-CN"/>
    </a:p>
  </c:txPr>
  <c:printSettings>
    <c:headerFooter alignWithMargins="0"/>
    <c:pageMargins b="1" l="0.75000000000000422" r="0.75000000000000422"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814349404954518"/>
          <c:y val="5.9548314325103414E-2"/>
          <c:w val="0.72789486930572045"/>
          <c:h val="0.71826785676723626"/>
        </c:manualLayout>
      </c:layout>
      <c:scatterChart>
        <c:scatterStyle val="lineMarker"/>
        <c:varyColors val="0"/>
        <c:ser>
          <c:idx val="0"/>
          <c:order val="0"/>
          <c:tx>
            <c:strRef>
              <c:f>'Mortality rates'!$J$5</c:f>
              <c:strCache>
                <c:ptCount val="1"/>
                <c:pt idx="0">
                  <c:v>观测的 Y(x)</c:v>
                </c:pt>
              </c:strCache>
            </c:strRef>
          </c:tx>
          <c:spPr>
            <a:ln w="28575">
              <a:noFill/>
            </a:ln>
          </c:spPr>
          <c:marker>
            <c:symbol val="diamond"/>
            <c:size val="5"/>
            <c:spPr>
              <a:solidFill>
                <a:srgbClr val="000080"/>
              </a:solidFill>
              <a:ln>
                <a:solidFill>
                  <a:srgbClr val="000080"/>
                </a:solidFill>
                <a:prstDash val="solid"/>
              </a:ln>
            </c:spPr>
          </c:marker>
          <c:xVal>
            <c:numRef>
              <c:f>'Mortality rates'!$L$9:$L$25</c:f>
              <c:numCache>
                <c:formatCode>0.0000_)</c:formatCode>
                <c:ptCount val="17"/>
                <c:pt idx="0">
                  <c:v>-2.0348412612235305</c:v>
                </c:pt>
                <c:pt idx="1">
                  <c:v>-1.8609074483360626</c:v>
                </c:pt>
                <c:pt idx="2">
                  <c:v>-1.6274028589318907</c:v>
                </c:pt>
                <c:pt idx="3">
                  <c:v>-1.3393426064696889</c:v>
                </c:pt>
                <c:pt idx="4">
                  <c:v>-1.0404096085214742</c:v>
                </c:pt>
                <c:pt idx="5">
                  <c:v>-0.81159061031057433</c:v>
                </c:pt>
                <c:pt idx="6">
                  <c:v>-0.65800824009637715</c:v>
                </c:pt>
                <c:pt idx="7">
                  <c:v>-0.55498492849825398</c:v>
                </c:pt>
                <c:pt idx="8">
                  <c:v>-0.47919904569705241</c:v>
                </c:pt>
                <c:pt idx="9">
                  <c:v>-0.40560966236923085</c:v>
                </c:pt>
                <c:pt idx="10">
                  <c:v>-0.32290749207459518</c:v>
                </c:pt>
                <c:pt idx="11">
                  <c:v>-0.2142760445943791</c:v>
                </c:pt>
                <c:pt idx="12">
                  <c:v>-6.3933571408291895E-2</c:v>
                </c:pt>
                <c:pt idx="13">
                  <c:v>0.1240256979390101</c:v>
                </c:pt>
                <c:pt idx="14">
                  <c:v>0.35905405527249362</c:v>
                </c:pt>
                <c:pt idx="15">
                  <c:v>0.66474233536003369</c:v>
                </c:pt>
                <c:pt idx="16">
                  <c:v>1.0738171173598614</c:v>
                </c:pt>
              </c:numCache>
            </c:numRef>
          </c:xVal>
          <c:yVal>
            <c:numRef>
              <c:f>'Mortality rates'!$J$9:$J$25</c:f>
              <c:numCache>
                <c:formatCode>0.0000_)</c:formatCode>
                <c:ptCount val="17"/>
                <c:pt idx="0">
                  <c:v>-2.2146596524284501</c:v>
                </c:pt>
                <c:pt idx="1">
                  <c:v>-1.9615094288929213</c:v>
                </c:pt>
                <c:pt idx="2">
                  <c:v>-1.6301690343652118</c:v>
                </c:pt>
                <c:pt idx="3">
                  <c:v>-1.1752175749980918</c:v>
                </c:pt>
                <c:pt idx="4">
                  <c:v>-0.78885708138518229</c:v>
                </c:pt>
                <c:pt idx="5">
                  <c:v>-0.51252118798032753</c:v>
                </c:pt>
                <c:pt idx="6">
                  <c:v>-0.33387395921853996</c:v>
                </c:pt>
                <c:pt idx="7">
                  <c:v>-0.20010009016231342</c:v>
                </c:pt>
                <c:pt idx="8">
                  <c:v>-9.3694565744011388E-2</c:v>
                </c:pt>
                <c:pt idx="9">
                  <c:v>1.2829364444555432E-2</c:v>
                </c:pt>
                <c:pt idx="10">
                  <c:v>0.10612516266207257</c:v>
                </c:pt>
                <c:pt idx="11">
                  <c:v>0.22657170135221644</c:v>
                </c:pt>
                <c:pt idx="12">
                  <c:v>0.35641535723313639</c:v>
                </c:pt>
                <c:pt idx="13">
                  <c:v>0.51286246376541067</c:v>
                </c:pt>
                <c:pt idx="14">
                  <c:v>0.70821504531662882</c:v>
                </c:pt>
                <c:pt idx="15">
                  <c:v>0.96690642533817828</c:v>
                </c:pt>
                <c:pt idx="16">
                  <c:v>#N/A</c:v>
                </c:pt>
              </c:numCache>
            </c:numRef>
          </c:yVal>
          <c:smooth val="0"/>
          <c:extLst>
            <c:ext xmlns:c16="http://schemas.microsoft.com/office/drawing/2014/chart" uri="{C3380CC4-5D6E-409C-BE32-E72D297353CC}">
              <c16:uniqueId val="{00000000-8A3C-45BD-9DD3-E108304F1232}"/>
            </c:ext>
          </c:extLst>
        </c:ser>
        <c:ser>
          <c:idx val="1"/>
          <c:order val="1"/>
          <c:tx>
            <c:strRef>
              <c:f>'Mortality rates'!$M$5</c:f>
              <c:strCache>
                <c:ptCount val="1"/>
                <c:pt idx="0">
                  <c:v>拟合的 Y(x)</c:v>
                </c:pt>
              </c:strCache>
            </c:strRef>
          </c:tx>
          <c:spPr>
            <a:ln w="12700">
              <a:solidFill>
                <a:srgbClr val="FF00FF"/>
              </a:solidFill>
              <a:prstDash val="solid"/>
            </a:ln>
          </c:spPr>
          <c:marker>
            <c:symbol val="none"/>
          </c:marker>
          <c:xVal>
            <c:numRef>
              <c:f>'Mortality rates'!$L$9:$L$25</c:f>
              <c:numCache>
                <c:formatCode>0.0000_)</c:formatCode>
                <c:ptCount val="17"/>
                <c:pt idx="0">
                  <c:v>-2.0348412612235305</c:v>
                </c:pt>
                <c:pt idx="1">
                  <c:v>-1.8609074483360626</c:v>
                </c:pt>
                <c:pt idx="2">
                  <c:v>-1.6274028589318907</c:v>
                </c:pt>
                <c:pt idx="3">
                  <c:v>-1.3393426064696889</c:v>
                </c:pt>
                <c:pt idx="4">
                  <c:v>-1.0404096085214742</c:v>
                </c:pt>
                <c:pt idx="5">
                  <c:v>-0.81159061031057433</c:v>
                </c:pt>
                <c:pt idx="6">
                  <c:v>-0.65800824009637715</c:v>
                </c:pt>
                <c:pt idx="7">
                  <c:v>-0.55498492849825398</c:v>
                </c:pt>
                <c:pt idx="8">
                  <c:v>-0.47919904569705241</c:v>
                </c:pt>
                <c:pt idx="9">
                  <c:v>-0.40560966236923085</c:v>
                </c:pt>
                <c:pt idx="10">
                  <c:v>-0.32290749207459518</c:v>
                </c:pt>
                <c:pt idx="11">
                  <c:v>-0.2142760445943791</c:v>
                </c:pt>
                <c:pt idx="12">
                  <c:v>-6.3933571408291895E-2</c:v>
                </c:pt>
                <c:pt idx="13">
                  <c:v>0.1240256979390101</c:v>
                </c:pt>
                <c:pt idx="14">
                  <c:v>0.35905405527249362</c:v>
                </c:pt>
                <c:pt idx="15">
                  <c:v>0.66474233536003369</c:v>
                </c:pt>
                <c:pt idx="16">
                  <c:v>1.0738171173598614</c:v>
                </c:pt>
              </c:numCache>
            </c:numRef>
          </c:xVal>
          <c:yVal>
            <c:numRef>
              <c:f>'Mortality rates'!$M$9:$M$25</c:f>
              <c:numCache>
                <c:formatCode>0.0000_)</c:formatCode>
                <c:ptCount val="17"/>
                <c:pt idx="0">
                  <c:v>-1.5176462368703671</c:v>
                </c:pt>
                <c:pt idx="1">
                  <c:v>-1.3553496484913456</c:v>
                </c:pt>
                <c:pt idx="2">
                  <c:v>-1.1374679289911818</c:v>
                </c:pt>
                <c:pt idx="3">
                  <c:v>-0.86868065039307441</c:v>
                </c:pt>
                <c:pt idx="4">
                  <c:v>-0.58974807876999891</c:v>
                </c:pt>
                <c:pt idx="5">
                  <c:v>-0.37623845606103701</c:v>
                </c:pt>
                <c:pt idx="6">
                  <c:v>-0.23293167569939077</c:v>
                </c:pt>
                <c:pt idx="7">
                  <c:v>-0.13680124701326746</c:v>
                </c:pt>
                <c:pt idx="8">
                  <c:v>-6.6085898331265602E-2</c:v>
                </c:pt>
                <c:pt idx="9">
                  <c:v>2.5799099825473126E-3</c:v>
                </c:pt>
                <c:pt idx="10">
                  <c:v>7.9748804676094853E-2</c:v>
                </c:pt>
                <c:pt idx="11">
                  <c:v>0.18111215102049158</c:v>
                </c:pt>
                <c:pt idx="12">
                  <c:v>0.32139580306894555</c:v>
                </c:pt>
                <c:pt idx="13">
                  <c:v>0.49677946000640927</c:v>
                </c:pt>
                <c:pt idx="14">
                  <c:v>0.71608299814150789</c:v>
                </c:pt>
                <c:pt idx="15">
                  <c:v>1.0013188826544099</c:v>
                </c:pt>
                <c:pt idx="16">
                  <c:v>1.3830240865380159</c:v>
                </c:pt>
              </c:numCache>
            </c:numRef>
          </c:yVal>
          <c:smooth val="0"/>
          <c:extLst>
            <c:ext xmlns:c16="http://schemas.microsoft.com/office/drawing/2014/chart" uri="{C3380CC4-5D6E-409C-BE32-E72D297353CC}">
              <c16:uniqueId val="{00000001-8A3C-45BD-9DD3-E108304F1232}"/>
            </c:ext>
          </c:extLst>
        </c:ser>
        <c:dLbls>
          <c:showLegendKey val="0"/>
          <c:showVal val="0"/>
          <c:showCatName val="0"/>
          <c:showSerName val="0"/>
          <c:showPercent val="0"/>
          <c:showBubbleSize val="0"/>
        </c:dLbls>
        <c:axId val="203643520"/>
        <c:axId val="203645696"/>
      </c:scatterChart>
      <c:valAx>
        <c:axId val="203643520"/>
        <c:scaling>
          <c:orientation val="minMax"/>
        </c:scaling>
        <c:delete val="0"/>
        <c:axPos val="b"/>
        <c:title>
          <c:tx>
            <c:rich>
              <a:bodyPr/>
              <a:lstStyle/>
              <a:p>
                <a:pPr>
                  <a:defRPr sz="1100" b="0" i="0" u="none" strike="noStrike" baseline="0">
                    <a:solidFill>
                      <a:srgbClr val="000000"/>
                    </a:solidFill>
                    <a:latin typeface="Calibri"/>
                    <a:ea typeface="Calibri"/>
                    <a:cs typeface="Calibri"/>
                  </a:defRPr>
                </a:pPr>
                <a:r>
                  <a:rPr lang="en-ZA" sz="1500" b="1" i="0" u="none" strike="noStrike" baseline="0">
                    <a:solidFill>
                      <a:srgbClr val="000000"/>
                    </a:solidFill>
                    <a:latin typeface="Times New Roman"/>
                    <a:cs typeface="Times New Roman"/>
                  </a:rPr>
                  <a:t>Y</a:t>
                </a:r>
                <a:r>
                  <a:rPr lang="en-ZA" sz="1500" b="1" i="0" u="none" strike="noStrike" baseline="-25000">
                    <a:solidFill>
                      <a:srgbClr val="000000"/>
                    </a:solidFill>
                    <a:latin typeface="Times New Roman"/>
                    <a:cs typeface="Times New Roman"/>
                  </a:rPr>
                  <a:t>s</a:t>
                </a:r>
                <a:r>
                  <a:rPr lang="en-ZA" sz="1500" b="1" i="0" u="none" strike="noStrike" baseline="0">
                    <a:solidFill>
                      <a:srgbClr val="000000"/>
                    </a:solidFill>
                    <a:latin typeface="Times New Roman"/>
                    <a:cs typeface="Times New Roman"/>
                  </a:rPr>
                  <a:t>(x)</a:t>
                </a:r>
              </a:p>
            </c:rich>
          </c:tx>
          <c:layout>
            <c:manualLayout>
              <c:xMode val="edge"/>
              <c:yMode val="edge"/>
              <c:x val="0.43823571711070364"/>
              <c:y val="0.85643011898668497"/>
            </c:manualLayout>
          </c:layout>
          <c:overlay val="0"/>
          <c:spPr>
            <a:noFill/>
            <a:ln w="25400">
              <a:noFill/>
            </a:ln>
          </c:spPr>
        </c:title>
        <c:numFmt formatCode="0.00" sourceLinked="0"/>
        <c:majorTickMark val="out"/>
        <c:minorTickMark val="none"/>
        <c:tickLblPos val="low"/>
        <c:spPr>
          <a:ln w="3175">
            <a:solidFill>
              <a:srgbClr val="000000"/>
            </a:solidFill>
            <a:prstDash val="solid"/>
          </a:ln>
        </c:spPr>
        <c:txPr>
          <a:bodyPr rot="0" vert="horz"/>
          <a:lstStyle/>
          <a:p>
            <a:pPr>
              <a:defRPr sz="1125" b="0" i="0" u="none" strike="noStrike" baseline="0">
                <a:solidFill>
                  <a:srgbClr val="000000"/>
                </a:solidFill>
                <a:latin typeface="Times New Roman"/>
                <a:ea typeface="Times New Roman"/>
                <a:cs typeface="Times New Roman"/>
              </a:defRPr>
            </a:pPr>
            <a:endParaRPr lang="zh-CN"/>
          </a:p>
        </c:txPr>
        <c:crossAx val="203645696"/>
        <c:crossesAt val="0"/>
        <c:crossBetween val="midCat"/>
      </c:valAx>
      <c:valAx>
        <c:axId val="203645696"/>
        <c:scaling>
          <c:orientation val="minMax"/>
        </c:scaling>
        <c:delete val="0"/>
        <c:axPos val="l"/>
        <c:title>
          <c:tx>
            <c:rich>
              <a:bodyPr/>
              <a:lstStyle/>
              <a:p>
                <a:pPr>
                  <a:defRPr sz="1500" b="1" i="0" u="none" strike="noStrike" baseline="0">
                    <a:solidFill>
                      <a:srgbClr val="000000"/>
                    </a:solidFill>
                    <a:latin typeface="Times New Roman"/>
                    <a:ea typeface="Times New Roman"/>
                    <a:cs typeface="Times New Roman"/>
                  </a:defRPr>
                </a:pPr>
                <a:r>
                  <a:rPr lang="en-ZA"/>
                  <a:t>Y(x)</a:t>
                </a:r>
              </a:p>
            </c:rich>
          </c:tx>
          <c:layout>
            <c:manualLayout>
              <c:xMode val="edge"/>
              <c:yMode val="edge"/>
              <c:x val="1.6666666666666701E-2"/>
              <c:y val="0.37987722787218642"/>
            </c:manualLayout>
          </c:layout>
          <c:overlay val="0"/>
          <c:spPr>
            <a:noFill/>
            <a:ln w="25400">
              <a:noFill/>
            </a:ln>
          </c:spPr>
        </c:title>
        <c:numFmt formatCode="0.00" sourceLinked="0"/>
        <c:majorTickMark val="out"/>
        <c:minorTickMark val="none"/>
        <c:tickLblPos val="low"/>
        <c:spPr>
          <a:ln w="3175">
            <a:solidFill>
              <a:srgbClr val="000000"/>
            </a:solidFill>
            <a:prstDash val="solid"/>
          </a:ln>
        </c:spPr>
        <c:txPr>
          <a:bodyPr rot="0" vert="horz"/>
          <a:lstStyle/>
          <a:p>
            <a:pPr>
              <a:defRPr sz="1125" b="0" i="0" u="none" strike="noStrike" baseline="0">
                <a:solidFill>
                  <a:srgbClr val="000000"/>
                </a:solidFill>
                <a:latin typeface="Times New Roman"/>
                <a:ea typeface="Times New Roman"/>
                <a:cs typeface="Times New Roman"/>
              </a:defRPr>
            </a:pPr>
            <a:endParaRPr lang="zh-CN"/>
          </a:p>
        </c:txPr>
        <c:crossAx val="203643520"/>
        <c:crossesAt val="0"/>
        <c:crossBetween val="midCat"/>
      </c:valAx>
      <c:spPr>
        <a:noFill/>
        <a:ln w="25400">
          <a:noFill/>
        </a:ln>
      </c:spPr>
    </c:plotArea>
    <c:legend>
      <c:legendPos val="b"/>
      <c:layout>
        <c:manualLayout>
          <c:xMode val="edge"/>
          <c:yMode val="edge"/>
          <c:x val="0.34117677937317026"/>
          <c:y val="0.92402550297229269"/>
          <c:w val="0.23823549997426968"/>
          <c:h val="5.9548254620123413E-2"/>
        </c:manualLayout>
      </c:layout>
      <c:overlay val="0"/>
      <c:spPr>
        <a:noFill/>
        <a:ln w="25400">
          <a:noFill/>
        </a:ln>
      </c:spPr>
      <c:txPr>
        <a:bodyPr/>
        <a:lstStyle/>
        <a:p>
          <a:pPr>
            <a:defRPr sz="1085" b="0" i="0" u="none" strike="noStrike" baseline="0">
              <a:solidFill>
                <a:srgbClr val="000000"/>
              </a:solidFill>
              <a:latin typeface="Times New Roman"/>
              <a:ea typeface="Times New Roman"/>
              <a:cs typeface="Times New Roman"/>
            </a:defRPr>
          </a:pPr>
          <a:endParaRPr lang="zh-CN"/>
        </a:p>
      </c:txPr>
    </c:legend>
    <c:plotVisOnly val="1"/>
    <c:dispBlanksAs val="gap"/>
    <c:showDLblsOverMax val="0"/>
  </c:chart>
  <c:spPr>
    <a:solidFill>
      <a:srgbClr val="FFFFFF"/>
    </a:solidFill>
    <a:ln w="9525">
      <a:noFill/>
    </a:ln>
  </c:spPr>
  <c:txPr>
    <a:bodyPr/>
    <a:lstStyle/>
    <a:p>
      <a:pPr>
        <a:defRPr sz="1025" b="0" i="0" u="none" strike="noStrike" baseline="0">
          <a:solidFill>
            <a:srgbClr val="000000"/>
          </a:solidFill>
          <a:latin typeface="Times New Roman"/>
          <a:ea typeface="Times New Roman"/>
          <a:cs typeface="Times New Roman"/>
        </a:defRPr>
      </a:pPr>
      <a:endParaRPr lang="zh-CN"/>
    </a:p>
  </c:txPr>
  <c:printSettings>
    <c:headerFooter alignWithMargins="0"/>
    <c:pageMargins b="1" l="0.75000000000000433" r="0.75000000000000433" t="1" header="0.5" footer="0.5"/>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367021560228218"/>
          <c:y val="4.4768224536449346E-2"/>
          <c:w val="0.63851371287392689"/>
          <c:h val="0.82426054102108159"/>
        </c:manualLayout>
      </c:layout>
      <c:scatterChart>
        <c:scatterStyle val="lineMarker"/>
        <c:varyColors val="0"/>
        <c:ser>
          <c:idx val="1"/>
          <c:order val="0"/>
          <c:tx>
            <c:v>平滑后的调整值</c:v>
          </c:tx>
          <c:spPr>
            <a:ln w="15875">
              <a:solidFill>
                <a:srgbClr val="FF00FF"/>
              </a:solidFill>
            </a:ln>
          </c:spPr>
          <c:marker>
            <c:symbol val="none"/>
          </c:marker>
          <c:xVal>
            <c:numRef>
              <c:f>'Mortality rates'!$R$8:$R$24</c:f>
              <c:numCache>
                <c:formatCode>General</c:formatCode>
                <c:ptCount val="17"/>
                <c:pt idx="0">
                  <c:v>5</c:v>
                </c:pt>
                <c:pt idx="1">
                  <c:v>10</c:v>
                </c:pt>
                <c:pt idx="2">
                  <c:v>15</c:v>
                </c:pt>
                <c:pt idx="3">
                  <c:v>20</c:v>
                </c:pt>
                <c:pt idx="4">
                  <c:v>25</c:v>
                </c:pt>
                <c:pt idx="5">
                  <c:v>30</c:v>
                </c:pt>
                <c:pt idx="6">
                  <c:v>35</c:v>
                </c:pt>
                <c:pt idx="7">
                  <c:v>40</c:v>
                </c:pt>
                <c:pt idx="8">
                  <c:v>45</c:v>
                </c:pt>
                <c:pt idx="9">
                  <c:v>50</c:v>
                </c:pt>
                <c:pt idx="10">
                  <c:v>55</c:v>
                </c:pt>
                <c:pt idx="11">
                  <c:v>60</c:v>
                </c:pt>
                <c:pt idx="12">
                  <c:v>65</c:v>
                </c:pt>
                <c:pt idx="13">
                  <c:v>70</c:v>
                </c:pt>
                <c:pt idx="14">
                  <c:v>75</c:v>
                </c:pt>
                <c:pt idx="15">
                  <c:v>80</c:v>
                </c:pt>
                <c:pt idx="16">
                  <c:v>85</c:v>
                </c:pt>
              </c:numCache>
            </c:numRef>
          </c:xVal>
          <c:yVal>
            <c:numRef>
              <c:f>'Mortality rates'!$Q$8:$Q$24</c:f>
              <c:numCache>
                <c:formatCode>0.0000</c:formatCode>
                <c:ptCount val="17"/>
                <c:pt idx="0">
                  <c:v>9.3865590213269255E-3</c:v>
                </c:pt>
                <c:pt idx="1">
                  <c:v>3.486260775499142E-3</c:v>
                </c:pt>
                <c:pt idx="2">
                  <c:v>6.6958580380346716E-3</c:v>
                </c:pt>
                <c:pt idx="3">
                  <c:v>1.2845541826580308E-2</c:v>
                </c:pt>
                <c:pt idx="4">
                  <c:v>2.1172344386961115E-2</c:v>
                </c:pt>
                <c:pt idx="5">
                  <c:v>2.357482627705967E-2</c:v>
                </c:pt>
                <c:pt idx="6">
                  <c:v>2.018787925663296E-2</c:v>
                </c:pt>
                <c:pt idx="7">
                  <c:v>1.5706305143282591E-2</c:v>
                </c:pt>
                <c:pt idx="8">
                  <c:v>1.2709557281943231E-2</c:v>
                </c:pt>
                <c:pt idx="9">
                  <c:v>1.3292513885163969E-2</c:v>
                </c:pt>
                <c:pt idx="10">
                  <c:v>1.6059789828076123E-2</c:v>
                </c:pt>
                <c:pt idx="11">
                  <c:v>2.2874753966384827E-2</c:v>
                </c:pt>
                <c:pt idx="12">
                  <c:v>3.4862114699630013E-2</c:v>
                </c:pt>
                <c:pt idx="13">
                  <c:v>4.8407928829617711E-2</c:v>
                </c:pt>
                <c:pt idx="14">
                  <c:v>6.6914132034867208E-2</c:v>
                </c:pt>
                <c:pt idx="15">
                  <c:v>9.4755328520776796E-2</c:v>
                </c:pt>
                <c:pt idx="16">
                  <c:v>0.13416110263851264</c:v>
                </c:pt>
              </c:numCache>
            </c:numRef>
          </c:yVal>
          <c:smooth val="0"/>
          <c:extLst>
            <c:ext xmlns:c16="http://schemas.microsoft.com/office/drawing/2014/chart" uri="{C3380CC4-5D6E-409C-BE32-E72D297353CC}">
              <c16:uniqueId val="{00000000-C220-4D20-B6AC-A419AF2E1395}"/>
            </c:ext>
          </c:extLst>
        </c:ser>
        <c:ser>
          <c:idx val="0"/>
          <c:order val="1"/>
          <c:tx>
            <c:v>调整的观察值</c:v>
          </c:tx>
          <c:spPr>
            <a:ln>
              <a:noFill/>
            </a:ln>
          </c:spPr>
          <c:marker>
            <c:symbol val="diamond"/>
            <c:size val="5"/>
            <c:spPr>
              <a:solidFill>
                <a:schemeClr val="tx2"/>
              </a:solidFill>
              <a:ln>
                <a:solidFill>
                  <a:schemeClr val="tx2"/>
                </a:solidFill>
              </a:ln>
            </c:spPr>
          </c:marker>
          <c:xVal>
            <c:numRef>
              <c:f>'Mortality rates'!$R$8:$R$24</c:f>
              <c:numCache>
                <c:formatCode>General</c:formatCode>
                <c:ptCount val="17"/>
                <c:pt idx="0">
                  <c:v>5</c:v>
                </c:pt>
                <c:pt idx="1">
                  <c:v>10</c:v>
                </c:pt>
                <c:pt idx="2">
                  <c:v>15</c:v>
                </c:pt>
                <c:pt idx="3">
                  <c:v>20</c:v>
                </c:pt>
                <c:pt idx="4">
                  <c:v>25</c:v>
                </c:pt>
                <c:pt idx="5">
                  <c:v>30</c:v>
                </c:pt>
                <c:pt idx="6">
                  <c:v>35</c:v>
                </c:pt>
                <c:pt idx="7">
                  <c:v>40</c:v>
                </c:pt>
                <c:pt idx="8">
                  <c:v>45</c:v>
                </c:pt>
                <c:pt idx="9">
                  <c:v>50</c:v>
                </c:pt>
                <c:pt idx="10">
                  <c:v>55</c:v>
                </c:pt>
                <c:pt idx="11">
                  <c:v>60</c:v>
                </c:pt>
                <c:pt idx="12">
                  <c:v>65</c:v>
                </c:pt>
                <c:pt idx="13">
                  <c:v>70</c:v>
                </c:pt>
                <c:pt idx="14">
                  <c:v>75</c:v>
                </c:pt>
                <c:pt idx="15">
                  <c:v>80</c:v>
                </c:pt>
                <c:pt idx="16">
                  <c:v>85</c:v>
                </c:pt>
              </c:numCache>
            </c:numRef>
          </c:xVal>
          <c:yVal>
            <c:numRef>
              <c:f>'Mortality rates'!$F$8:$F$24</c:f>
              <c:numCache>
                <c:formatCode>0.0000</c:formatCode>
                <c:ptCount val="17"/>
                <c:pt idx="0">
                  <c:v>2.3703899053989976E-3</c:v>
                </c:pt>
                <c:pt idx="1">
                  <c:v>1.5472107111778211E-3</c:v>
                </c:pt>
                <c:pt idx="2">
                  <c:v>3.6137451698248354E-3</c:v>
                </c:pt>
                <c:pt idx="3">
                  <c:v>1.0676696158624505E-2</c:v>
                </c:pt>
                <c:pt idx="4">
                  <c:v>1.9310112022149564E-2</c:v>
                </c:pt>
                <c:pt idx="5">
                  <c:v>2.3753805200185638E-2</c:v>
                </c:pt>
                <c:pt idx="6">
                  <c:v>2.1462416481157511E-2</c:v>
                </c:pt>
                <c:pt idx="7">
                  <c:v>1.9770180126144579E-2</c:v>
                </c:pt>
                <c:pt idx="8">
                  <c:v>1.8167616154642848E-2</c:v>
                </c:pt>
                <c:pt idx="9">
                  <c:v>2.0426874470761743E-2</c:v>
                </c:pt>
                <c:pt idx="10">
                  <c:v>1.9750773241154006E-2</c:v>
                </c:pt>
                <c:pt idx="11">
                  <c:v>2.8009390656701501E-2</c:v>
                </c:pt>
                <c:pt idx="12">
                  <c:v>3.3244733058370342E-2</c:v>
                </c:pt>
                <c:pt idx="13">
                  <c:v>4.3893596769280591E-2</c:v>
                </c:pt>
                <c:pt idx="14">
                  <c:v>5.9844553639354758E-2</c:v>
                </c:pt>
                <c:pt idx="15">
                  <c:v>8.5700480128445292E-2</c:v>
                </c:pt>
                <c:pt idx="16">
                  <c:v>0.16270309029828442</c:v>
                </c:pt>
              </c:numCache>
            </c:numRef>
          </c:yVal>
          <c:smooth val="0"/>
          <c:extLst>
            <c:ext xmlns:c16="http://schemas.microsoft.com/office/drawing/2014/chart" uri="{C3380CC4-5D6E-409C-BE32-E72D297353CC}">
              <c16:uniqueId val="{00000001-C220-4D20-B6AC-A419AF2E1395}"/>
            </c:ext>
          </c:extLst>
        </c:ser>
        <c:dLbls>
          <c:showLegendKey val="0"/>
          <c:showVal val="0"/>
          <c:showCatName val="0"/>
          <c:showSerName val="0"/>
          <c:showPercent val="0"/>
          <c:showBubbleSize val="0"/>
        </c:dLbls>
        <c:axId val="203682944"/>
        <c:axId val="203684864"/>
      </c:scatterChart>
      <c:valAx>
        <c:axId val="203682944"/>
        <c:scaling>
          <c:orientation val="minMax"/>
          <c:max val="85"/>
          <c:min val="0"/>
        </c:scaling>
        <c:delete val="0"/>
        <c:axPos val="b"/>
        <c:numFmt formatCode="General" sourceLinked="1"/>
        <c:majorTickMark val="out"/>
        <c:minorTickMark val="none"/>
        <c:tickLblPos val="nextTo"/>
        <c:crossAx val="203684864"/>
        <c:crosses val="autoZero"/>
        <c:crossBetween val="midCat"/>
      </c:valAx>
      <c:valAx>
        <c:axId val="203684864"/>
        <c:scaling>
          <c:orientation val="minMax"/>
        </c:scaling>
        <c:delete val="0"/>
        <c:axPos val="l"/>
        <c:majorGridlines/>
        <c:title>
          <c:tx>
            <c:rich>
              <a:bodyPr rot="-5400000" vert="horz"/>
              <a:lstStyle/>
              <a:p>
                <a:pPr>
                  <a:defRPr/>
                </a:pPr>
                <a:r>
                  <a:rPr lang="en-US"/>
                  <a:t>5mx</a:t>
                </a:r>
              </a:p>
            </c:rich>
          </c:tx>
          <c:overlay val="0"/>
        </c:title>
        <c:numFmt formatCode="0.00" sourceLinked="0"/>
        <c:majorTickMark val="out"/>
        <c:minorTickMark val="none"/>
        <c:tickLblPos val="nextTo"/>
        <c:crossAx val="203682944"/>
        <c:crosses val="autoZero"/>
        <c:crossBetween val="midCat"/>
      </c:valAx>
    </c:plotArea>
    <c:legend>
      <c:legendPos val="r"/>
      <c:layout>
        <c:manualLayout>
          <c:xMode val="edge"/>
          <c:yMode val="edge"/>
          <c:x val="0.77007891790050198"/>
          <c:y val="0.42708502667005332"/>
          <c:w val="0.21637706404080981"/>
          <c:h val="0.34692772598827448"/>
        </c:manualLayout>
      </c:layout>
      <c:overlay val="0"/>
      <c:spPr>
        <a:solidFill>
          <a:srgbClr val="FFEB9B"/>
        </a:solidFill>
      </c:spPr>
    </c:legend>
    <c:plotVisOnly val="1"/>
    <c:dispBlanksAs val="gap"/>
    <c:showDLblsOverMax val="0"/>
  </c:chart>
  <c:spPr>
    <a:ln>
      <a:noFill/>
    </a:ln>
  </c:spPr>
  <c:printSettings>
    <c:headerFooter/>
    <c:pageMargins b="0.75000000000000167" l="0.70000000000000062" r="0.70000000000000062" t="0.75000000000000167"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942229605020391"/>
          <c:y val="0.15722823340825584"/>
          <c:w val="0.75212009351544507"/>
          <c:h val="0.63414005192270861"/>
        </c:manualLayout>
      </c:layout>
      <c:scatterChart>
        <c:scatterStyle val="lineMarker"/>
        <c:varyColors val="0"/>
        <c:ser>
          <c:idx val="0"/>
          <c:order val="0"/>
          <c:tx>
            <c:v>观测值</c:v>
          </c:tx>
          <c:spPr>
            <a:ln>
              <a:noFill/>
            </a:ln>
          </c:spPr>
          <c:marker>
            <c:symbol val="square"/>
            <c:size val="5"/>
          </c:marker>
          <c:xVal>
            <c:numRef>
              <c:f>Method!$O$8:$O$24</c:f>
              <c:numCache>
                <c:formatCode>0.00000</c:formatCode>
                <c:ptCount val="17"/>
                <c:pt idx="0">
                  <c:v>0</c:v>
                </c:pt>
                <c:pt idx="1">
                  <c:v>1.1707510982362879E-2</c:v>
                </c:pt>
                <c:pt idx="2">
                  <c:v>1.2991767237806396E-2</c:v>
                </c:pt>
                <c:pt idx="3">
                  <c:v>1.4768059038362593E-2</c:v>
                </c:pt>
                <c:pt idx="4">
                  <c:v>1.6920515969203277E-2</c:v>
                </c:pt>
                <c:pt idx="5">
                  <c:v>1.8680864118397266E-2</c:v>
                </c:pt>
                <c:pt idx="6">
                  <c:v>1.962782838179733E-2</c:v>
                </c:pt>
                <c:pt idx="7">
                  <c:v>2.0143440254876771E-2</c:v>
                </c:pt>
                <c:pt idx="8">
                  <c:v>2.129485880471433E-2</c:v>
                </c:pt>
                <c:pt idx="9">
                  <c:v>2.3280761781570264E-2</c:v>
                </c:pt>
                <c:pt idx="10">
                  <c:v>2.6427922553521586E-2</c:v>
                </c:pt>
                <c:pt idx="11">
                  <c:v>3.0308588903229627E-2</c:v>
                </c:pt>
                <c:pt idx="12">
                  <c:v>3.5896048933186667E-2</c:v>
                </c:pt>
                <c:pt idx="13">
                  <c:v>4.2463567072542577E-2</c:v>
                </c:pt>
                <c:pt idx="14">
                  <c:v>5.2080859949530017E-2</c:v>
                </c:pt>
                <c:pt idx="15">
                  <c:v>6.6377109859653269E-2</c:v>
                </c:pt>
                <c:pt idx="16">
                  <c:v>8.6111759523579398E-2</c:v>
                </c:pt>
              </c:numCache>
            </c:numRef>
          </c:xVal>
          <c:yVal>
            <c:numRef>
              <c:f>Method!$P$8:$P$24</c:f>
              <c:numCache>
                <c:formatCode>0.00000</c:formatCode>
                <c:ptCount val="17"/>
                <c:pt idx="1">
                  <c:v>1.0715767484464844E-2</c:v>
                </c:pt>
                <c:pt idx="2">
                  <c:v>1.4027621775447438E-2</c:v>
                </c:pt>
                <c:pt idx="3">
                  <c:v>1.6441203473426591E-2</c:v>
                </c:pt>
                <c:pt idx="4">
                  <c:v>1.841017085377368E-2</c:v>
                </c:pt>
                <c:pt idx="5">
                  <c:v>1.9196178517321291E-2</c:v>
                </c:pt>
                <c:pt idx="6">
                  <c:v>1.9562395088630339E-2</c:v>
                </c:pt>
                <c:pt idx="7">
                  <c:v>2.0334539287098594E-2</c:v>
                </c:pt>
                <c:pt idx="8">
                  <c:v>2.2376678919907512E-2</c:v>
                </c:pt>
                <c:pt idx="9">
                  <c:v>2.450242856767252E-2</c:v>
                </c:pt>
                <c:pt idx="10">
                  <c:v>2.7962119640454482E-2</c:v>
                </c:pt>
                <c:pt idx="11">
                  <c:v>3.3972209490281763E-2</c:v>
                </c:pt>
                <c:pt idx="12">
                  <c:v>4.3069847484765889E-2</c:v>
                </c:pt>
                <c:pt idx="13">
                  <c:v>5.5637510685865525E-2</c:v>
                </c:pt>
                <c:pt idx="14">
                  <c:v>6.9112664163856113E-2</c:v>
                </c:pt>
                <c:pt idx="15">
                  <c:v>8.7533908747943853E-2</c:v>
                </c:pt>
                <c:pt idx="16">
                  <c:v>0.10890122344079917</c:v>
                </c:pt>
              </c:numCache>
            </c:numRef>
          </c:yVal>
          <c:smooth val="0"/>
          <c:extLst>
            <c:ext xmlns:c16="http://schemas.microsoft.com/office/drawing/2014/chart" uri="{C3380CC4-5D6E-409C-BE32-E72D297353CC}">
              <c16:uniqueId val="{00000000-1E40-4300-9D75-EF6963A08E8F}"/>
            </c:ext>
          </c:extLst>
        </c:ser>
        <c:ser>
          <c:idx val="1"/>
          <c:order val="1"/>
          <c:tx>
            <c:v>拟合值</c:v>
          </c:tx>
          <c:spPr>
            <a:ln>
              <a:solidFill>
                <a:srgbClr val="FF66FF"/>
              </a:solidFill>
              <a:prstDash val="solid"/>
            </a:ln>
          </c:spPr>
          <c:marker>
            <c:symbol val="none"/>
          </c:marker>
          <c:xVal>
            <c:numRef>
              <c:f>Method!$O$8:$O$24</c:f>
              <c:numCache>
                <c:formatCode>0.00000</c:formatCode>
                <c:ptCount val="17"/>
                <c:pt idx="0">
                  <c:v>0</c:v>
                </c:pt>
                <c:pt idx="1">
                  <c:v>1.1707510982362879E-2</c:v>
                </c:pt>
                <c:pt idx="2">
                  <c:v>1.2991767237806396E-2</c:v>
                </c:pt>
                <c:pt idx="3">
                  <c:v>1.4768059038362593E-2</c:v>
                </c:pt>
                <c:pt idx="4">
                  <c:v>1.6920515969203277E-2</c:v>
                </c:pt>
                <c:pt idx="5">
                  <c:v>1.8680864118397266E-2</c:v>
                </c:pt>
                <c:pt idx="6">
                  <c:v>1.962782838179733E-2</c:v>
                </c:pt>
                <c:pt idx="7">
                  <c:v>2.0143440254876771E-2</c:v>
                </c:pt>
                <c:pt idx="8">
                  <c:v>2.129485880471433E-2</c:v>
                </c:pt>
                <c:pt idx="9">
                  <c:v>2.3280761781570264E-2</c:v>
                </c:pt>
                <c:pt idx="10">
                  <c:v>2.6427922553521586E-2</c:v>
                </c:pt>
                <c:pt idx="11">
                  <c:v>3.0308588903229627E-2</c:v>
                </c:pt>
                <c:pt idx="12">
                  <c:v>3.5896048933186667E-2</c:v>
                </c:pt>
                <c:pt idx="13">
                  <c:v>4.2463567072542577E-2</c:v>
                </c:pt>
                <c:pt idx="14">
                  <c:v>5.2080859949530017E-2</c:v>
                </c:pt>
                <c:pt idx="15">
                  <c:v>6.6377109859653269E-2</c:v>
                </c:pt>
                <c:pt idx="16">
                  <c:v>8.6111759523579398E-2</c:v>
                </c:pt>
              </c:numCache>
            </c:numRef>
          </c:xVal>
          <c:yVal>
            <c:numRef>
              <c:f>Method!$Q$8:$Q$24</c:f>
              <c:numCache>
                <c:formatCode>0.0000</c:formatCode>
                <c:ptCount val="17"/>
                <c:pt idx="0">
                  <c:v>-5.8515026006751986E-3</c:v>
                </c:pt>
                <c:pt idx="1">
                  <c:v>1.0226233055636757E-2</c:v>
                </c:pt>
                <c:pt idx="2">
                  <c:v>1.1989881419588035E-2</c:v>
                </c:pt>
                <c:pt idx="3">
                  <c:v>1.4429234247088269E-2</c:v>
                </c:pt>
                <c:pt idx="4">
                  <c:v>1.7385168569745514E-2</c:v>
                </c:pt>
                <c:pt idx="5">
                  <c:v>1.980262623845545E-2</c:v>
                </c:pt>
                <c:pt idx="6">
                  <c:v>2.110307695986469E-2</c:v>
                </c:pt>
                <c:pt idx="7">
                  <c:v>2.1811158413652401E-2</c:v>
                </c:pt>
                <c:pt idx="8">
                  <c:v>2.3392382902952525E-2</c:v>
                </c:pt>
                <c:pt idx="9">
                  <c:v>2.6119591371863878E-2</c:v>
                </c:pt>
                <c:pt idx="10">
                  <c:v>3.0441536406600529E-2</c:v>
                </c:pt>
                <c:pt idx="11">
                  <c:v>3.5770792798923687E-2</c:v>
                </c:pt>
                <c:pt idx="12">
                  <c:v>4.3443961373114286E-2</c:v>
                </c:pt>
                <c:pt idx="13">
                  <c:v>5.2463027912677512E-2</c:v>
                </c:pt>
                <c:pt idx="14">
                  <c:v>6.5670300819657842E-2</c:v>
                </c:pt>
                <c:pt idx="15">
                  <c:v>8.5303109815336037E-2</c:v>
                </c:pt>
                <c:pt idx="16">
                  <c:v>0.11240438531655217</c:v>
                </c:pt>
              </c:numCache>
            </c:numRef>
          </c:yVal>
          <c:smooth val="0"/>
          <c:extLst>
            <c:ext xmlns:c16="http://schemas.microsoft.com/office/drawing/2014/chart" uri="{C3380CC4-5D6E-409C-BE32-E72D297353CC}">
              <c16:uniqueId val="{00000001-1E40-4300-9D75-EF6963A08E8F}"/>
            </c:ext>
          </c:extLst>
        </c:ser>
        <c:dLbls>
          <c:showLegendKey val="0"/>
          <c:showVal val="0"/>
          <c:showCatName val="0"/>
          <c:showSerName val="0"/>
          <c:showPercent val="0"/>
          <c:showBubbleSize val="0"/>
        </c:dLbls>
        <c:axId val="203495296"/>
        <c:axId val="203517952"/>
      </c:scatterChart>
      <c:valAx>
        <c:axId val="203495296"/>
        <c:scaling>
          <c:orientation val="minMax"/>
        </c:scaling>
        <c:delete val="0"/>
        <c:axPos val="b"/>
        <c:title>
          <c:tx>
            <c:rich>
              <a:bodyPr/>
              <a:lstStyle/>
              <a:p>
                <a:pPr>
                  <a:defRPr/>
                </a:pPr>
                <a:r>
                  <a:rPr lang="en-US"/>
                  <a:t>d(x+)</a:t>
                </a:r>
              </a:p>
            </c:rich>
          </c:tx>
          <c:overlay val="0"/>
        </c:title>
        <c:numFmt formatCode="0.000" sourceLinked="0"/>
        <c:majorTickMark val="out"/>
        <c:minorTickMark val="none"/>
        <c:tickLblPos val="nextTo"/>
        <c:crossAx val="203517952"/>
        <c:crosses val="autoZero"/>
        <c:crossBetween val="midCat"/>
        <c:majorUnit val="2.0000000000000011E-2"/>
      </c:valAx>
      <c:valAx>
        <c:axId val="203517952"/>
        <c:scaling>
          <c:orientation val="minMax"/>
        </c:scaling>
        <c:delete val="0"/>
        <c:axPos val="l"/>
        <c:majorGridlines/>
        <c:title>
          <c:tx>
            <c:rich>
              <a:bodyPr rot="-5400000" vert="horz"/>
              <a:lstStyle/>
              <a:p>
                <a:pPr>
                  <a:defRPr/>
                </a:pPr>
                <a:r>
                  <a:rPr lang="en-US"/>
                  <a:t>n(x+)-r(x+)+i(x+)</a:t>
                </a:r>
              </a:p>
            </c:rich>
          </c:tx>
          <c:overlay val="0"/>
        </c:title>
        <c:numFmt formatCode="0.000" sourceLinked="0"/>
        <c:majorTickMark val="out"/>
        <c:minorTickMark val="none"/>
        <c:tickLblPos val="nextTo"/>
        <c:crossAx val="203495296"/>
        <c:crosses val="autoZero"/>
        <c:crossBetween val="midCat"/>
      </c:valAx>
      <c:spPr>
        <a:solidFill>
          <a:schemeClr val="bg1"/>
        </a:solidFill>
      </c:spPr>
    </c:plotArea>
    <c:legend>
      <c:legendPos val="b"/>
      <c:overlay val="0"/>
    </c:legend>
    <c:plotVisOnly val="1"/>
    <c:dispBlanksAs val="gap"/>
    <c:showDLblsOverMax val="0"/>
  </c:chart>
  <c:spPr>
    <a:solidFill>
      <a:srgbClr val="D7E6E6"/>
    </a:solidFill>
    <a:ln>
      <a:noFill/>
    </a:ln>
  </c:spPr>
  <c:txPr>
    <a:bodyPr/>
    <a:lstStyle/>
    <a:p>
      <a:pPr>
        <a:defRPr sz="1200">
          <a:latin typeface="Verdana" pitchFamily="34" charset="0"/>
          <a:ea typeface="Verdana" pitchFamily="34" charset="0"/>
          <a:cs typeface="Verdana" pitchFamily="34" charset="0"/>
        </a:defRPr>
      </a:pPr>
      <a:endParaRPr lang="zh-CN"/>
    </a:p>
  </c:txPr>
  <c:printSettings>
    <c:headerFooter/>
    <c:pageMargins b="0.750000000000002" l="0.70000000000000062" r="0.70000000000000062" t="0.750000000000002"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zh-CN" altLang="en-US"/>
              <a:t>残差</a:t>
            </a:r>
            <a:endParaRPr lang="en-US"/>
          </a:p>
        </c:rich>
      </c:tx>
      <c:overlay val="0"/>
    </c:title>
    <c:autoTitleDeleted val="0"/>
    <c:plotArea>
      <c:layout>
        <c:manualLayout>
          <c:layoutTarget val="inner"/>
          <c:xMode val="edge"/>
          <c:yMode val="edge"/>
          <c:x val="0.18942229605020397"/>
          <c:y val="0.15722823340825592"/>
          <c:w val="0.75212009351544551"/>
          <c:h val="0.63414005192270861"/>
        </c:manualLayout>
      </c:layout>
      <c:scatterChart>
        <c:scatterStyle val="lineMarker"/>
        <c:varyColors val="0"/>
        <c:ser>
          <c:idx val="0"/>
          <c:order val="0"/>
          <c:tx>
            <c:v>Residuals</c:v>
          </c:tx>
          <c:spPr>
            <a:ln>
              <a:solidFill>
                <a:srgbClr val="0070C0"/>
              </a:solidFill>
            </a:ln>
          </c:spPr>
          <c:marker>
            <c:symbol val="square"/>
            <c:size val="5"/>
          </c:marker>
          <c:xVal>
            <c:numRef>
              <c:f>Method!$O$9:$O$24</c:f>
              <c:numCache>
                <c:formatCode>0.00000</c:formatCode>
                <c:ptCount val="16"/>
                <c:pt idx="0">
                  <c:v>1.1707510982362879E-2</c:v>
                </c:pt>
                <c:pt idx="1">
                  <c:v>1.2991767237806396E-2</c:v>
                </c:pt>
                <c:pt idx="2">
                  <c:v>1.4768059038362593E-2</c:v>
                </c:pt>
                <c:pt idx="3">
                  <c:v>1.6920515969203277E-2</c:v>
                </c:pt>
                <c:pt idx="4">
                  <c:v>1.8680864118397266E-2</c:v>
                </c:pt>
                <c:pt idx="5">
                  <c:v>1.962782838179733E-2</c:v>
                </c:pt>
                <c:pt idx="6">
                  <c:v>2.0143440254876771E-2</c:v>
                </c:pt>
                <c:pt idx="7">
                  <c:v>2.129485880471433E-2</c:v>
                </c:pt>
                <c:pt idx="8">
                  <c:v>2.3280761781570264E-2</c:v>
                </c:pt>
                <c:pt idx="9">
                  <c:v>2.6427922553521586E-2</c:v>
                </c:pt>
                <c:pt idx="10">
                  <c:v>3.0308588903229627E-2</c:v>
                </c:pt>
                <c:pt idx="11">
                  <c:v>3.5896048933186667E-2</c:v>
                </c:pt>
                <c:pt idx="12">
                  <c:v>4.2463567072542577E-2</c:v>
                </c:pt>
                <c:pt idx="13">
                  <c:v>5.2080859949530017E-2</c:v>
                </c:pt>
                <c:pt idx="14">
                  <c:v>6.6377109859653269E-2</c:v>
                </c:pt>
                <c:pt idx="15">
                  <c:v>8.6111759523579398E-2</c:v>
                </c:pt>
              </c:numCache>
            </c:numRef>
          </c:xVal>
          <c:yVal>
            <c:numRef>
              <c:f>Method!$R$9:$R$24</c:f>
              <c:numCache>
                <c:formatCode>0.0000</c:formatCode>
                <c:ptCount val="16"/>
                <c:pt idx="0">
                  <c:v>4.8953442882808743E-4</c:v>
                </c:pt>
                <c:pt idx="1">
                  <c:v>2.0377403558594024E-3</c:v>
                </c:pt>
                <c:pt idx="2">
                  <c:v>2.011969226338322E-3</c:v>
                </c:pt>
                <c:pt idx="3">
                  <c:v>1.0250022840281661E-3</c:v>
                </c:pt>
                <c:pt idx="4">
                  <c:v>-6.0644772113415887E-4</c:v>
                </c:pt>
                <c:pt idx="5">
                  <c:v>-1.5406818712343506E-3</c:v>
                </c:pt>
                <c:pt idx="6">
                  <c:v>-1.4766191265538076E-3</c:v>
                </c:pt>
                <c:pt idx="7">
                  <c:v>-1.0157039830450132E-3</c:v>
                </c:pt>
                <c:pt idx="8">
                  <c:v>-1.6171628041913577E-3</c:v>
                </c:pt>
                <c:pt idx="9">
                  <c:v>-2.4794167661460476E-3</c:v>
                </c:pt>
                <c:pt idx="10">
                  <c:v>-1.798583308641924E-3</c:v>
                </c:pt>
                <c:pt idx="11">
                  <c:v>-3.7411388834839715E-4</c:v>
                </c:pt>
                <c:pt idx="12">
                  <c:v>3.1744827731880129E-3</c:v>
                </c:pt>
                <c:pt idx="13">
                  <c:v>3.4423633441982709E-3</c:v>
                </c:pt>
                <c:pt idx="14">
                  <c:v>2.2307989326078165E-3</c:v>
                </c:pt>
                <c:pt idx="15">
                  <c:v>-3.5031618757530025E-3</c:v>
                </c:pt>
              </c:numCache>
            </c:numRef>
          </c:yVal>
          <c:smooth val="0"/>
          <c:extLst>
            <c:ext xmlns:c16="http://schemas.microsoft.com/office/drawing/2014/chart" uri="{C3380CC4-5D6E-409C-BE32-E72D297353CC}">
              <c16:uniqueId val="{00000000-19C4-4F7B-A911-D19B63B523B6}"/>
            </c:ext>
          </c:extLst>
        </c:ser>
        <c:dLbls>
          <c:showLegendKey val="0"/>
          <c:showVal val="0"/>
          <c:showCatName val="0"/>
          <c:showSerName val="0"/>
          <c:showPercent val="0"/>
          <c:showBubbleSize val="0"/>
        </c:dLbls>
        <c:axId val="203538432"/>
        <c:axId val="203540352"/>
      </c:scatterChart>
      <c:valAx>
        <c:axId val="203538432"/>
        <c:scaling>
          <c:orientation val="minMax"/>
        </c:scaling>
        <c:delete val="0"/>
        <c:axPos val="b"/>
        <c:title>
          <c:tx>
            <c:rich>
              <a:bodyPr/>
              <a:lstStyle/>
              <a:p>
                <a:pPr>
                  <a:defRPr/>
                </a:pPr>
                <a:r>
                  <a:rPr lang="en-US"/>
                  <a:t>d(x+)</a:t>
                </a:r>
              </a:p>
            </c:rich>
          </c:tx>
          <c:overlay val="0"/>
        </c:title>
        <c:numFmt formatCode="0.000" sourceLinked="0"/>
        <c:majorTickMark val="out"/>
        <c:minorTickMark val="none"/>
        <c:tickLblPos val="nextTo"/>
        <c:crossAx val="203540352"/>
        <c:crosses val="autoZero"/>
        <c:crossBetween val="midCat"/>
        <c:majorUnit val="2.0000000000000011E-2"/>
      </c:valAx>
      <c:valAx>
        <c:axId val="203540352"/>
        <c:scaling>
          <c:orientation val="minMax"/>
        </c:scaling>
        <c:delete val="0"/>
        <c:axPos val="l"/>
        <c:majorGridlines/>
        <c:numFmt formatCode="0.000" sourceLinked="0"/>
        <c:majorTickMark val="out"/>
        <c:minorTickMark val="none"/>
        <c:tickLblPos val="nextTo"/>
        <c:crossAx val="203538432"/>
        <c:crosses val="autoZero"/>
        <c:crossBetween val="midCat"/>
      </c:valAx>
      <c:spPr>
        <a:solidFill>
          <a:schemeClr val="bg1"/>
        </a:solidFill>
      </c:spPr>
    </c:plotArea>
    <c:plotVisOnly val="1"/>
    <c:dispBlanksAs val="gap"/>
    <c:showDLblsOverMax val="0"/>
  </c:chart>
  <c:spPr>
    <a:solidFill>
      <a:srgbClr val="D7E6E6"/>
    </a:solidFill>
    <a:ln>
      <a:noFill/>
    </a:ln>
  </c:spPr>
  <c:txPr>
    <a:bodyPr/>
    <a:lstStyle/>
    <a:p>
      <a:pPr>
        <a:defRPr sz="1200">
          <a:latin typeface="Verdana" pitchFamily="34" charset="0"/>
          <a:ea typeface="Verdana" pitchFamily="34" charset="0"/>
          <a:cs typeface="Verdana" pitchFamily="34" charset="0"/>
        </a:defRPr>
      </a:pPr>
      <a:endParaRPr lang="zh-CN"/>
    </a:p>
  </c:txPr>
  <c:printSettings>
    <c:headerFooter/>
    <c:pageMargins b="0.75000000000000222" l="0.70000000000000062" r="0.70000000000000062" t="0.75000000000000222"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942229605020394"/>
          <c:y val="0.15722823340825587"/>
          <c:w val="0.75212009351544529"/>
          <c:h val="0.63414005192270861"/>
        </c:manualLayout>
      </c:layout>
      <c:scatterChart>
        <c:scatterStyle val="lineMarker"/>
        <c:varyColors val="0"/>
        <c:ser>
          <c:idx val="0"/>
          <c:order val="0"/>
          <c:tx>
            <c:v>观测值</c:v>
          </c:tx>
          <c:spPr>
            <a:ln>
              <a:noFill/>
            </a:ln>
          </c:spPr>
          <c:marker>
            <c:symbol val="square"/>
            <c:size val="5"/>
          </c:marker>
          <c:xVal>
            <c:numRef>
              <c:f>'Mortality rates'!$L$9:$L$25</c:f>
              <c:numCache>
                <c:formatCode>0.0000_)</c:formatCode>
                <c:ptCount val="17"/>
                <c:pt idx="0">
                  <c:v>-2.0348412612235305</c:v>
                </c:pt>
                <c:pt idx="1">
                  <c:v>-1.8609074483360626</c:v>
                </c:pt>
                <c:pt idx="2">
                  <c:v>-1.6274028589318907</c:v>
                </c:pt>
                <c:pt idx="3">
                  <c:v>-1.3393426064696889</c:v>
                </c:pt>
                <c:pt idx="4">
                  <c:v>-1.0404096085214742</c:v>
                </c:pt>
                <c:pt idx="5">
                  <c:v>-0.81159061031057433</c:v>
                </c:pt>
                <c:pt idx="6">
                  <c:v>-0.65800824009637715</c:v>
                </c:pt>
                <c:pt idx="7">
                  <c:v>-0.55498492849825398</c:v>
                </c:pt>
                <c:pt idx="8">
                  <c:v>-0.47919904569705241</c:v>
                </c:pt>
                <c:pt idx="9">
                  <c:v>-0.40560966236923085</c:v>
                </c:pt>
                <c:pt idx="10">
                  <c:v>-0.32290749207459518</c:v>
                </c:pt>
                <c:pt idx="11">
                  <c:v>-0.2142760445943791</c:v>
                </c:pt>
                <c:pt idx="12">
                  <c:v>-6.3933571408291895E-2</c:v>
                </c:pt>
                <c:pt idx="13">
                  <c:v>0.1240256979390101</c:v>
                </c:pt>
                <c:pt idx="14">
                  <c:v>0.35905405527249362</c:v>
                </c:pt>
                <c:pt idx="15">
                  <c:v>0.66474233536003369</c:v>
                </c:pt>
                <c:pt idx="16">
                  <c:v>1.0738171173598614</c:v>
                </c:pt>
              </c:numCache>
            </c:numRef>
          </c:xVal>
          <c:yVal>
            <c:numRef>
              <c:f>'Mortality rates'!$J$9:$J$25</c:f>
              <c:numCache>
                <c:formatCode>0.0000_)</c:formatCode>
                <c:ptCount val="17"/>
                <c:pt idx="0">
                  <c:v>-2.2146596524284501</c:v>
                </c:pt>
                <c:pt idx="1">
                  <c:v>-1.9615094288929213</c:v>
                </c:pt>
                <c:pt idx="2">
                  <c:v>-1.6301690343652118</c:v>
                </c:pt>
                <c:pt idx="3">
                  <c:v>-1.1752175749980918</c:v>
                </c:pt>
                <c:pt idx="4">
                  <c:v>-0.78885708138518229</c:v>
                </c:pt>
                <c:pt idx="5">
                  <c:v>-0.51252118798032753</c:v>
                </c:pt>
                <c:pt idx="6">
                  <c:v>-0.33387395921853996</c:v>
                </c:pt>
                <c:pt idx="7">
                  <c:v>-0.20010009016231342</c:v>
                </c:pt>
                <c:pt idx="8">
                  <c:v>-9.3694565744011388E-2</c:v>
                </c:pt>
                <c:pt idx="9">
                  <c:v>1.2829364444555432E-2</c:v>
                </c:pt>
                <c:pt idx="10">
                  <c:v>0.10612516266207257</c:v>
                </c:pt>
                <c:pt idx="11">
                  <c:v>0.22657170135221644</c:v>
                </c:pt>
                <c:pt idx="12">
                  <c:v>0.35641535723313639</c:v>
                </c:pt>
                <c:pt idx="13">
                  <c:v>0.51286246376541067</c:v>
                </c:pt>
                <c:pt idx="14">
                  <c:v>0.70821504531662882</c:v>
                </c:pt>
                <c:pt idx="15">
                  <c:v>0.96690642533817828</c:v>
                </c:pt>
                <c:pt idx="16">
                  <c:v>#N/A</c:v>
                </c:pt>
              </c:numCache>
            </c:numRef>
          </c:yVal>
          <c:smooth val="0"/>
          <c:extLst>
            <c:ext xmlns:c16="http://schemas.microsoft.com/office/drawing/2014/chart" uri="{C3380CC4-5D6E-409C-BE32-E72D297353CC}">
              <c16:uniqueId val="{00000000-DEF3-4516-8DB2-4962E18F1F4A}"/>
            </c:ext>
          </c:extLst>
        </c:ser>
        <c:ser>
          <c:idx val="1"/>
          <c:order val="1"/>
          <c:tx>
            <c:v>拟合值</c:v>
          </c:tx>
          <c:spPr>
            <a:ln>
              <a:solidFill>
                <a:srgbClr val="FF66FF"/>
              </a:solidFill>
              <a:prstDash val="solid"/>
            </a:ln>
          </c:spPr>
          <c:marker>
            <c:symbol val="none"/>
          </c:marker>
          <c:xVal>
            <c:numRef>
              <c:f>'Mortality rates'!$L$9:$L$25</c:f>
              <c:numCache>
                <c:formatCode>0.0000_)</c:formatCode>
                <c:ptCount val="17"/>
                <c:pt idx="0">
                  <c:v>-2.0348412612235305</c:v>
                </c:pt>
                <c:pt idx="1">
                  <c:v>-1.8609074483360626</c:v>
                </c:pt>
                <c:pt idx="2">
                  <c:v>-1.6274028589318907</c:v>
                </c:pt>
                <c:pt idx="3">
                  <c:v>-1.3393426064696889</c:v>
                </c:pt>
                <c:pt idx="4">
                  <c:v>-1.0404096085214742</c:v>
                </c:pt>
                <c:pt idx="5">
                  <c:v>-0.81159061031057433</c:v>
                </c:pt>
                <c:pt idx="6">
                  <c:v>-0.65800824009637715</c:v>
                </c:pt>
                <c:pt idx="7">
                  <c:v>-0.55498492849825398</c:v>
                </c:pt>
                <c:pt idx="8">
                  <c:v>-0.47919904569705241</c:v>
                </c:pt>
                <c:pt idx="9">
                  <c:v>-0.40560966236923085</c:v>
                </c:pt>
                <c:pt idx="10">
                  <c:v>-0.32290749207459518</c:v>
                </c:pt>
                <c:pt idx="11">
                  <c:v>-0.2142760445943791</c:v>
                </c:pt>
                <c:pt idx="12">
                  <c:v>-6.3933571408291895E-2</c:v>
                </c:pt>
                <c:pt idx="13">
                  <c:v>0.1240256979390101</c:v>
                </c:pt>
                <c:pt idx="14">
                  <c:v>0.35905405527249362</c:v>
                </c:pt>
                <c:pt idx="15">
                  <c:v>0.66474233536003369</c:v>
                </c:pt>
                <c:pt idx="16">
                  <c:v>1.0738171173598614</c:v>
                </c:pt>
              </c:numCache>
            </c:numRef>
          </c:xVal>
          <c:yVal>
            <c:numRef>
              <c:f>'Mortality rates'!$M$9:$M$25</c:f>
              <c:numCache>
                <c:formatCode>0.0000_)</c:formatCode>
                <c:ptCount val="17"/>
                <c:pt idx="0">
                  <c:v>-1.5176462368703671</c:v>
                </c:pt>
                <c:pt idx="1">
                  <c:v>-1.3553496484913456</c:v>
                </c:pt>
                <c:pt idx="2">
                  <c:v>-1.1374679289911818</c:v>
                </c:pt>
                <c:pt idx="3">
                  <c:v>-0.86868065039307441</c:v>
                </c:pt>
                <c:pt idx="4">
                  <c:v>-0.58974807876999891</c:v>
                </c:pt>
                <c:pt idx="5">
                  <c:v>-0.37623845606103701</c:v>
                </c:pt>
                <c:pt idx="6">
                  <c:v>-0.23293167569939077</c:v>
                </c:pt>
                <c:pt idx="7">
                  <c:v>-0.13680124701326746</c:v>
                </c:pt>
                <c:pt idx="8">
                  <c:v>-6.6085898331265602E-2</c:v>
                </c:pt>
                <c:pt idx="9">
                  <c:v>2.5799099825473126E-3</c:v>
                </c:pt>
                <c:pt idx="10">
                  <c:v>7.9748804676094853E-2</c:v>
                </c:pt>
                <c:pt idx="11">
                  <c:v>0.18111215102049158</c:v>
                </c:pt>
                <c:pt idx="12">
                  <c:v>0.32139580306894555</c:v>
                </c:pt>
                <c:pt idx="13">
                  <c:v>0.49677946000640927</c:v>
                </c:pt>
                <c:pt idx="14">
                  <c:v>0.71608299814150789</c:v>
                </c:pt>
                <c:pt idx="15">
                  <c:v>1.0013188826544099</c:v>
                </c:pt>
                <c:pt idx="16">
                  <c:v>1.3830240865380159</c:v>
                </c:pt>
              </c:numCache>
            </c:numRef>
          </c:yVal>
          <c:smooth val="0"/>
          <c:extLst>
            <c:ext xmlns:c16="http://schemas.microsoft.com/office/drawing/2014/chart" uri="{C3380CC4-5D6E-409C-BE32-E72D297353CC}">
              <c16:uniqueId val="{00000001-DEF3-4516-8DB2-4962E18F1F4A}"/>
            </c:ext>
          </c:extLst>
        </c:ser>
        <c:dLbls>
          <c:showLegendKey val="0"/>
          <c:showVal val="0"/>
          <c:showCatName val="0"/>
          <c:showSerName val="0"/>
          <c:showPercent val="0"/>
          <c:showBubbleSize val="0"/>
        </c:dLbls>
        <c:axId val="204284288"/>
        <c:axId val="204286208"/>
      </c:scatterChart>
      <c:valAx>
        <c:axId val="204284288"/>
        <c:scaling>
          <c:orientation val="minMax"/>
        </c:scaling>
        <c:delete val="0"/>
        <c:axPos val="b"/>
        <c:title>
          <c:tx>
            <c:rich>
              <a:bodyPr/>
              <a:lstStyle/>
              <a:p>
                <a:pPr>
                  <a:defRPr/>
                </a:pPr>
                <a:r>
                  <a:rPr lang="en-US"/>
                  <a:t>Ys(x)</a:t>
                </a:r>
              </a:p>
            </c:rich>
          </c:tx>
          <c:overlay val="0"/>
        </c:title>
        <c:numFmt formatCode="0.00" sourceLinked="0"/>
        <c:majorTickMark val="out"/>
        <c:minorTickMark val="none"/>
        <c:tickLblPos val="low"/>
        <c:crossAx val="204286208"/>
        <c:crossesAt val="0"/>
        <c:crossBetween val="midCat"/>
      </c:valAx>
      <c:valAx>
        <c:axId val="204286208"/>
        <c:scaling>
          <c:orientation val="minMax"/>
        </c:scaling>
        <c:delete val="0"/>
        <c:axPos val="l"/>
        <c:majorGridlines>
          <c:spPr>
            <a:ln>
              <a:noFill/>
            </a:ln>
          </c:spPr>
        </c:majorGridlines>
        <c:title>
          <c:tx>
            <c:rich>
              <a:bodyPr rot="-5400000" vert="horz"/>
              <a:lstStyle/>
              <a:p>
                <a:pPr>
                  <a:defRPr/>
                </a:pPr>
                <a:r>
                  <a:rPr lang="en-US"/>
                  <a:t>Y(x)</a:t>
                </a:r>
              </a:p>
            </c:rich>
          </c:tx>
          <c:overlay val="0"/>
        </c:title>
        <c:numFmt formatCode="0.00" sourceLinked="0"/>
        <c:majorTickMark val="out"/>
        <c:minorTickMark val="none"/>
        <c:tickLblPos val="low"/>
        <c:crossAx val="204284288"/>
        <c:crossesAt val="0"/>
        <c:crossBetween val="midCat"/>
      </c:valAx>
      <c:spPr>
        <a:solidFill>
          <a:schemeClr val="bg1"/>
        </a:solidFill>
      </c:spPr>
    </c:plotArea>
    <c:legend>
      <c:legendPos val="b"/>
      <c:overlay val="0"/>
    </c:legend>
    <c:plotVisOnly val="1"/>
    <c:dispBlanksAs val="gap"/>
    <c:showDLblsOverMax val="0"/>
  </c:chart>
  <c:spPr>
    <a:solidFill>
      <a:srgbClr val="D7E6E6"/>
    </a:solidFill>
    <a:ln>
      <a:noFill/>
    </a:ln>
  </c:spPr>
  <c:txPr>
    <a:bodyPr/>
    <a:lstStyle/>
    <a:p>
      <a:pPr>
        <a:defRPr sz="1200">
          <a:latin typeface="Verdana" pitchFamily="34" charset="0"/>
          <a:ea typeface="Verdana" pitchFamily="34" charset="0"/>
          <a:cs typeface="Verdana" pitchFamily="34" charset="0"/>
        </a:defRPr>
      </a:pPr>
      <a:endParaRPr lang="zh-CN"/>
    </a:p>
  </c:txPr>
  <c:printSettings>
    <c:headerFooter/>
    <c:pageMargins b="0.75000000000000211" l="0.70000000000000062" r="0.70000000000000062" t="0.750000000000002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8942229605020403"/>
          <c:y val="0.15722823340825595"/>
          <c:w val="0.75212009351544573"/>
          <c:h val="0.63414005192270861"/>
        </c:manualLayout>
      </c:layout>
      <c:scatterChart>
        <c:scatterStyle val="lineMarker"/>
        <c:varyColors val="0"/>
        <c:ser>
          <c:idx val="0"/>
          <c:order val="0"/>
          <c:tx>
            <c:v>调整值</c:v>
          </c:tx>
          <c:spPr>
            <a:ln>
              <a:noFill/>
            </a:ln>
          </c:spPr>
          <c:marker>
            <c:symbol val="square"/>
            <c:size val="5"/>
          </c:marker>
          <c:xVal>
            <c:numRef>
              <c:f>'Mortality rates'!$G$8:$G$24</c:f>
              <c:numCache>
                <c:formatCode>General</c:formatCode>
                <c:ptCount val="17"/>
                <c:pt idx="0">
                  <c:v>5</c:v>
                </c:pt>
                <c:pt idx="1">
                  <c:v>10</c:v>
                </c:pt>
                <c:pt idx="2">
                  <c:v>15</c:v>
                </c:pt>
                <c:pt idx="3">
                  <c:v>20</c:v>
                </c:pt>
                <c:pt idx="4">
                  <c:v>25</c:v>
                </c:pt>
                <c:pt idx="5">
                  <c:v>30</c:v>
                </c:pt>
                <c:pt idx="6">
                  <c:v>35</c:v>
                </c:pt>
                <c:pt idx="7">
                  <c:v>40</c:v>
                </c:pt>
                <c:pt idx="8">
                  <c:v>45</c:v>
                </c:pt>
                <c:pt idx="9">
                  <c:v>50</c:v>
                </c:pt>
                <c:pt idx="10">
                  <c:v>55</c:v>
                </c:pt>
                <c:pt idx="11">
                  <c:v>60</c:v>
                </c:pt>
                <c:pt idx="12">
                  <c:v>65</c:v>
                </c:pt>
                <c:pt idx="13">
                  <c:v>70</c:v>
                </c:pt>
                <c:pt idx="14">
                  <c:v>75</c:v>
                </c:pt>
                <c:pt idx="15">
                  <c:v>80</c:v>
                </c:pt>
                <c:pt idx="16">
                  <c:v>85</c:v>
                </c:pt>
              </c:numCache>
            </c:numRef>
          </c:xVal>
          <c:yVal>
            <c:numRef>
              <c:f>'Mortality rates'!$F$8:$F$24</c:f>
              <c:numCache>
                <c:formatCode>0.0000</c:formatCode>
                <c:ptCount val="17"/>
                <c:pt idx="0">
                  <c:v>2.3703899053989976E-3</c:v>
                </c:pt>
                <c:pt idx="1">
                  <c:v>1.5472107111778211E-3</c:v>
                </c:pt>
                <c:pt idx="2">
                  <c:v>3.6137451698248354E-3</c:v>
                </c:pt>
                <c:pt idx="3">
                  <c:v>1.0676696158624505E-2</c:v>
                </c:pt>
                <c:pt idx="4">
                  <c:v>1.9310112022149564E-2</c:v>
                </c:pt>
                <c:pt idx="5">
                  <c:v>2.3753805200185638E-2</c:v>
                </c:pt>
                <c:pt idx="6">
                  <c:v>2.1462416481157511E-2</c:v>
                </c:pt>
                <c:pt idx="7">
                  <c:v>1.9770180126144579E-2</c:v>
                </c:pt>
                <c:pt idx="8">
                  <c:v>1.8167616154642848E-2</c:v>
                </c:pt>
                <c:pt idx="9">
                  <c:v>2.0426874470761743E-2</c:v>
                </c:pt>
                <c:pt idx="10">
                  <c:v>1.9750773241154006E-2</c:v>
                </c:pt>
                <c:pt idx="11">
                  <c:v>2.8009390656701501E-2</c:v>
                </c:pt>
                <c:pt idx="12">
                  <c:v>3.3244733058370342E-2</c:v>
                </c:pt>
                <c:pt idx="13">
                  <c:v>4.3893596769280591E-2</c:v>
                </c:pt>
                <c:pt idx="14">
                  <c:v>5.9844553639354758E-2</c:v>
                </c:pt>
                <c:pt idx="15">
                  <c:v>8.5700480128445292E-2</c:v>
                </c:pt>
                <c:pt idx="16">
                  <c:v>0.16270309029828442</c:v>
                </c:pt>
              </c:numCache>
            </c:numRef>
          </c:yVal>
          <c:smooth val="0"/>
          <c:extLst>
            <c:ext xmlns:c16="http://schemas.microsoft.com/office/drawing/2014/chart" uri="{C3380CC4-5D6E-409C-BE32-E72D297353CC}">
              <c16:uniqueId val="{00000000-4B8D-40D5-9B60-2A8C4FA9BEEF}"/>
            </c:ext>
          </c:extLst>
        </c:ser>
        <c:ser>
          <c:idx val="1"/>
          <c:order val="1"/>
          <c:tx>
            <c:v>平滑值</c:v>
          </c:tx>
          <c:spPr>
            <a:ln w="28575">
              <a:solidFill>
                <a:srgbClr val="FF00FF"/>
              </a:solidFill>
            </a:ln>
          </c:spPr>
          <c:marker>
            <c:symbol val="none"/>
          </c:marker>
          <c:xVal>
            <c:numRef>
              <c:f>'Mortality rates'!$G$8:$G$24</c:f>
              <c:numCache>
                <c:formatCode>General</c:formatCode>
                <c:ptCount val="17"/>
                <c:pt idx="0">
                  <c:v>5</c:v>
                </c:pt>
                <c:pt idx="1">
                  <c:v>10</c:v>
                </c:pt>
                <c:pt idx="2">
                  <c:v>15</c:v>
                </c:pt>
                <c:pt idx="3">
                  <c:v>20</c:v>
                </c:pt>
                <c:pt idx="4">
                  <c:v>25</c:v>
                </c:pt>
                <c:pt idx="5">
                  <c:v>30</c:v>
                </c:pt>
                <c:pt idx="6">
                  <c:v>35</c:v>
                </c:pt>
                <c:pt idx="7">
                  <c:v>40</c:v>
                </c:pt>
                <c:pt idx="8">
                  <c:v>45</c:v>
                </c:pt>
                <c:pt idx="9">
                  <c:v>50</c:v>
                </c:pt>
                <c:pt idx="10">
                  <c:v>55</c:v>
                </c:pt>
                <c:pt idx="11">
                  <c:v>60</c:v>
                </c:pt>
                <c:pt idx="12">
                  <c:v>65</c:v>
                </c:pt>
                <c:pt idx="13">
                  <c:v>70</c:v>
                </c:pt>
                <c:pt idx="14">
                  <c:v>75</c:v>
                </c:pt>
                <c:pt idx="15">
                  <c:v>80</c:v>
                </c:pt>
                <c:pt idx="16">
                  <c:v>85</c:v>
                </c:pt>
              </c:numCache>
            </c:numRef>
          </c:xVal>
          <c:yVal>
            <c:numRef>
              <c:f>'Mortality rates'!$Q$8:$Q$24</c:f>
              <c:numCache>
                <c:formatCode>0.0000</c:formatCode>
                <c:ptCount val="17"/>
                <c:pt idx="0">
                  <c:v>9.3865590213269255E-3</c:v>
                </c:pt>
                <c:pt idx="1">
                  <c:v>3.486260775499142E-3</c:v>
                </c:pt>
                <c:pt idx="2">
                  <c:v>6.6958580380346716E-3</c:v>
                </c:pt>
                <c:pt idx="3">
                  <c:v>1.2845541826580308E-2</c:v>
                </c:pt>
                <c:pt idx="4">
                  <c:v>2.1172344386961115E-2</c:v>
                </c:pt>
                <c:pt idx="5">
                  <c:v>2.357482627705967E-2</c:v>
                </c:pt>
                <c:pt idx="6">
                  <c:v>2.018787925663296E-2</c:v>
                </c:pt>
                <c:pt idx="7">
                  <c:v>1.5706305143282591E-2</c:v>
                </c:pt>
                <c:pt idx="8">
                  <c:v>1.2709557281943231E-2</c:v>
                </c:pt>
                <c:pt idx="9">
                  <c:v>1.3292513885163969E-2</c:v>
                </c:pt>
                <c:pt idx="10">
                  <c:v>1.6059789828076123E-2</c:v>
                </c:pt>
                <c:pt idx="11">
                  <c:v>2.2874753966384827E-2</c:v>
                </c:pt>
                <c:pt idx="12">
                  <c:v>3.4862114699630013E-2</c:v>
                </c:pt>
                <c:pt idx="13">
                  <c:v>4.8407928829617711E-2</c:v>
                </c:pt>
                <c:pt idx="14">
                  <c:v>6.6914132034867208E-2</c:v>
                </c:pt>
                <c:pt idx="15">
                  <c:v>9.4755328520776796E-2</c:v>
                </c:pt>
                <c:pt idx="16">
                  <c:v>0.13416110263851264</c:v>
                </c:pt>
              </c:numCache>
            </c:numRef>
          </c:yVal>
          <c:smooth val="0"/>
          <c:extLst>
            <c:ext xmlns:c16="http://schemas.microsoft.com/office/drawing/2014/chart" uri="{C3380CC4-5D6E-409C-BE32-E72D297353CC}">
              <c16:uniqueId val="{00000001-4B8D-40D5-9B60-2A8C4FA9BEEF}"/>
            </c:ext>
          </c:extLst>
        </c:ser>
        <c:dLbls>
          <c:showLegendKey val="0"/>
          <c:showVal val="0"/>
          <c:showCatName val="0"/>
          <c:showSerName val="0"/>
          <c:showPercent val="0"/>
          <c:showBubbleSize val="0"/>
        </c:dLbls>
        <c:axId val="204303360"/>
        <c:axId val="204329728"/>
      </c:scatterChart>
      <c:valAx>
        <c:axId val="204303360"/>
        <c:scaling>
          <c:orientation val="minMax"/>
          <c:max val="85"/>
          <c:min val="0"/>
        </c:scaling>
        <c:delete val="0"/>
        <c:axPos val="b"/>
        <c:numFmt formatCode="0" sourceLinked="0"/>
        <c:majorTickMark val="out"/>
        <c:minorTickMark val="none"/>
        <c:tickLblPos val="nextTo"/>
        <c:crossAx val="204329728"/>
        <c:crosses val="autoZero"/>
        <c:crossBetween val="midCat"/>
      </c:valAx>
      <c:valAx>
        <c:axId val="204329728"/>
        <c:scaling>
          <c:orientation val="minMax"/>
        </c:scaling>
        <c:delete val="0"/>
        <c:axPos val="l"/>
        <c:majorGridlines/>
        <c:title>
          <c:tx>
            <c:rich>
              <a:bodyPr rot="-5400000" vert="horz"/>
              <a:lstStyle/>
              <a:p>
                <a:pPr>
                  <a:defRPr/>
                </a:pPr>
                <a:r>
                  <a:rPr lang="en-US"/>
                  <a:t>5mx</a:t>
                </a:r>
              </a:p>
            </c:rich>
          </c:tx>
          <c:overlay val="0"/>
        </c:title>
        <c:numFmt formatCode="0.00" sourceLinked="0"/>
        <c:majorTickMark val="out"/>
        <c:minorTickMark val="none"/>
        <c:tickLblPos val="nextTo"/>
        <c:crossAx val="204303360"/>
        <c:crosses val="autoZero"/>
        <c:crossBetween val="midCat"/>
      </c:valAx>
      <c:spPr>
        <a:solidFill>
          <a:schemeClr val="bg1"/>
        </a:solidFill>
      </c:spPr>
    </c:plotArea>
    <c:legend>
      <c:legendPos val="b"/>
      <c:overlay val="0"/>
    </c:legend>
    <c:plotVisOnly val="1"/>
    <c:dispBlanksAs val="gap"/>
    <c:showDLblsOverMax val="0"/>
  </c:chart>
  <c:spPr>
    <a:solidFill>
      <a:srgbClr val="D7E6E6"/>
    </a:solidFill>
    <a:ln>
      <a:noFill/>
    </a:ln>
  </c:spPr>
  <c:txPr>
    <a:bodyPr/>
    <a:lstStyle/>
    <a:p>
      <a:pPr>
        <a:defRPr sz="1200">
          <a:latin typeface="Verdana" pitchFamily="34" charset="0"/>
          <a:ea typeface="Verdana" pitchFamily="34" charset="0"/>
          <a:cs typeface="Verdana" pitchFamily="34" charset="0"/>
        </a:defRPr>
      </a:pPr>
      <a:endParaRPr lang="zh-CN"/>
    </a:p>
  </c:txPr>
  <c:printSettings>
    <c:headerFooter/>
    <c:pageMargins b="0.75000000000000233" l="0.70000000000000062" r="0.70000000000000062" t="0.75000000000000233" header="0.30000000000000032" footer="0.30000000000000032"/>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 Id="rId4"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18</xdr:col>
      <xdr:colOff>63500</xdr:colOff>
      <xdr:row>0</xdr:row>
      <xdr:rowOff>0</xdr:rowOff>
    </xdr:from>
    <xdr:to>
      <xdr:col>23</xdr:col>
      <xdr:colOff>523875</xdr:colOff>
      <xdr:row>17</xdr:row>
      <xdr:rowOff>123825</xdr:rowOff>
    </xdr:to>
    <xdr:graphicFrame macro="">
      <xdr:nvGraphicFramePr>
        <xdr:cNvPr id="2" name="Chart 1">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63500</xdr:colOff>
      <xdr:row>18</xdr:row>
      <xdr:rowOff>12700</xdr:rowOff>
    </xdr:from>
    <xdr:to>
      <xdr:col>23</xdr:col>
      <xdr:colOff>552450</xdr:colOff>
      <xdr:row>33</xdr:row>
      <xdr:rowOff>12700</xdr:rowOff>
    </xdr:to>
    <xdr:graphicFrame macro="">
      <xdr:nvGraphicFramePr>
        <xdr:cNvPr id="3" name="Chart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18</xdr:col>
      <xdr:colOff>63500</xdr:colOff>
      <xdr:row>0</xdr:row>
      <xdr:rowOff>1</xdr:rowOff>
    </xdr:from>
    <xdr:to>
      <xdr:col>26</xdr:col>
      <xdr:colOff>19050</xdr:colOff>
      <xdr:row>15</xdr:row>
      <xdr:rowOff>1</xdr:rowOff>
    </xdr:to>
    <xdr:graphicFrame macro="">
      <xdr:nvGraphicFramePr>
        <xdr:cNvPr id="2" name="Chart 9">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19050</xdr:colOff>
      <xdr:row>15</xdr:row>
      <xdr:rowOff>19050</xdr:rowOff>
    </xdr:from>
    <xdr:to>
      <xdr:col>26</xdr:col>
      <xdr:colOff>47625</xdr:colOff>
      <xdr:row>30</xdr:row>
      <xdr:rowOff>76200</xdr:rowOff>
    </xdr:to>
    <xdr:graphicFrame macro="">
      <xdr:nvGraphicFramePr>
        <xdr:cNvPr id="3" name="Chart 2">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16</xdr:col>
      <xdr:colOff>1536</xdr:colOff>
      <xdr:row>36</xdr:row>
      <xdr:rowOff>24300</xdr:rowOff>
    </xdr:to>
    <xdr:grpSp>
      <xdr:nvGrpSpPr>
        <xdr:cNvPr id="6" name="Group 5">
          <a:extLst>
            <a:ext uri="{FF2B5EF4-FFF2-40B4-BE49-F238E27FC236}">
              <a16:creationId xmlns:a16="http://schemas.microsoft.com/office/drawing/2014/main" id="{00000000-0008-0000-0400-000006000000}"/>
            </a:ext>
          </a:extLst>
        </xdr:cNvPr>
        <xdr:cNvGrpSpPr/>
      </xdr:nvGrpSpPr>
      <xdr:grpSpPr>
        <a:xfrm>
          <a:off x="0" y="0"/>
          <a:ext cx="9755136" cy="6120300"/>
          <a:chOff x="0" y="0"/>
          <a:chExt cx="9822869" cy="5739300"/>
        </a:xfrm>
      </xdr:grpSpPr>
      <xdr:graphicFrame macro="">
        <xdr:nvGraphicFramePr>
          <xdr:cNvPr id="3" name="Chart 2">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4912202" cy="5739300"/>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5" name="Chart 4">
            <a:extLst>
              <a:ext uri="{FF2B5EF4-FFF2-40B4-BE49-F238E27FC236}">
                <a16:creationId xmlns:a16="http://schemas.microsoft.com/office/drawing/2014/main" id="{00000000-0008-0000-0400-000005000000}"/>
              </a:ext>
            </a:extLst>
          </xdr:cNvPr>
          <xdr:cNvGraphicFramePr>
            <a:graphicFrameLocks/>
          </xdr:cNvGraphicFramePr>
        </xdr:nvGraphicFramePr>
        <xdr:xfrm>
          <a:off x="4910667" y="0"/>
          <a:ext cx="4912202" cy="5739300"/>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twoCellAnchor>
    <xdr:from>
      <xdr:col>0</xdr:col>
      <xdr:colOff>0</xdr:colOff>
      <xdr:row>37</xdr:row>
      <xdr:rowOff>0</xdr:rowOff>
    </xdr:from>
    <xdr:to>
      <xdr:col>16</xdr:col>
      <xdr:colOff>1536</xdr:colOff>
      <xdr:row>73</xdr:row>
      <xdr:rowOff>24300</xdr:rowOff>
    </xdr:to>
    <xdr:grpSp>
      <xdr:nvGrpSpPr>
        <xdr:cNvPr id="7" name="Group 6">
          <a:extLst>
            <a:ext uri="{FF2B5EF4-FFF2-40B4-BE49-F238E27FC236}">
              <a16:creationId xmlns:a16="http://schemas.microsoft.com/office/drawing/2014/main" id="{00000000-0008-0000-0400-000007000000}"/>
            </a:ext>
          </a:extLst>
        </xdr:cNvPr>
        <xdr:cNvGrpSpPr/>
      </xdr:nvGrpSpPr>
      <xdr:grpSpPr>
        <a:xfrm>
          <a:off x="0" y="6265333"/>
          <a:ext cx="9755136" cy="6120300"/>
          <a:chOff x="0" y="0"/>
          <a:chExt cx="9822869" cy="5739300"/>
        </a:xfrm>
      </xdr:grpSpPr>
      <xdr:graphicFrame macro="">
        <xdr:nvGraphicFramePr>
          <xdr:cNvPr id="8" name="Chart 7">
            <a:extLst>
              <a:ext uri="{FF2B5EF4-FFF2-40B4-BE49-F238E27FC236}">
                <a16:creationId xmlns:a16="http://schemas.microsoft.com/office/drawing/2014/main" id="{00000000-0008-0000-0400-000008000000}"/>
              </a:ext>
            </a:extLst>
          </xdr:cNvPr>
          <xdr:cNvGraphicFramePr>
            <a:graphicFrameLocks/>
          </xdr:cNvGraphicFramePr>
        </xdr:nvGraphicFramePr>
        <xdr:xfrm>
          <a:off x="0" y="0"/>
          <a:ext cx="4912202" cy="5739300"/>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9" name="Chart 8">
            <a:extLst>
              <a:ext uri="{FF2B5EF4-FFF2-40B4-BE49-F238E27FC236}">
                <a16:creationId xmlns:a16="http://schemas.microsoft.com/office/drawing/2014/main" id="{00000000-0008-0000-0400-000009000000}"/>
              </a:ext>
            </a:extLst>
          </xdr:cNvPr>
          <xdr:cNvGraphicFramePr>
            <a:graphicFrameLocks/>
          </xdr:cNvGraphicFramePr>
        </xdr:nvGraphicFramePr>
        <xdr:xfrm>
          <a:off x="4910667" y="0"/>
          <a:ext cx="4912202" cy="5739300"/>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temp\garbag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ROBDOR~1\AppData\Local\Temp\XPgrpwise\Synthetic%20orphanhood%20method%20Kenya%2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ROBDOR~1\AppData\Local\Temp\XPgrpwise\AM_Orphanhood_OneCensus_AIDS%20Kenya_1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temp\Gompertz_C9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Raw Data"/>
      <sheetName val="El-Badry correction"/>
      <sheetName val="El-Badry (2)"/>
      <sheetName val="Adj. CEB 1, BLYR 1 (2)"/>
      <sheetName val="GOMP (2)"/>
      <sheetName val="Summary ASFRs &amp; TFRs (2)"/>
      <sheetName val="Deadkids correction to CEB"/>
      <sheetName val="Manipulations"/>
      <sheetName val="Adj. CEB 1, BLYR 1"/>
      <sheetName val="Summary ASFRs &amp; TFRs"/>
      <sheetName val="GOMP"/>
      <sheetName val="COMPARE"/>
    </sheetNames>
    <sheetDataSet>
      <sheetData sheetId="0"/>
      <sheetData sheetId="1"/>
      <sheetData sheetId="2"/>
      <sheetData sheetId="3"/>
      <sheetData sheetId="4"/>
      <sheetData sheetId="5"/>
      <sheetData sheetId="6"/>
      <sheetData sheetId="7">
        <row r="4">
          <cell r="V4">
            <v>0</v>
          </cell>
        </row>
        <row r="5">
          <cell r="V5">
            <v>2.828820313291569E-3</v>
          </cell>
        </row>
        <row r="6">
          <cell r="V6">
            <v>1.7220218111561159E-2</v>
          </cell>
        </row>
        <row r="7">
          <cell r="V7">
            <v>3.7969882467608018E-2</v>
          </cell>
        </row>
        <row r="8">
          <cell r="V8">
            <v>6.5031650686778519E-2</v>
          </cell>
        </row>
        <row r="9">
          <cell r="V9">
            <v>9.8023575185855361E-2</v>
          </cell>
        </row>
        <row r="10">
          <cell r="V10">
            <v>0.13739063721012457</v>
          </cell>
        </row>
        <row r="11">
          <cell r="V11">
            <v>0.18277562370487033</v>
          </cell>
        </row>
        <row r="26">
          <cell r="AA26">
            <v>36</v>
          </cell>
          <cell r="AB26">
            <v>0.23556002000000001</v>
          </cell>
          <cell r="AC26">
            <v>223</v>
          </cell>
        </row>
        <row r="27">
          <cell r="AA27">
            <v>37</v>
          </cell>
          <cell r="AB27">
            <v>0.35120604999999999</v>
          </cell>
          <cell r="AC27">
            <v>222</v>
          </cell>
        </row>
        <row r="28">
          <cell r="AA28">
            <v>38</v>
          </cell>
          <cell r="AB28">
            <v>0.25579874000000002</v>
          </cell>
          <cell r="AC28">
            <v>226</v>
          </cell>
        </row>
        <row r="29">
          <cell r="AA29">
            <v>39</v>
          </cell>
          <cell r="AB29">
            <v>0.36016730000000002</v>
          </cell>
          <cell r="AC29">
            <v>252</v>
          </cell>
        </row>
        <row r="30">
          <cell r="AA30">
            <v>40</v>
          </cell>
          <cell r="AB30">
            <v>0.39299674000000001</v>
          </cell>
          <cell r="AC30">
            <v>222</v>
          </cell>
        </row>
        <row r="31">
          <cell r="AA31">
            <v>41</v>
          </cell>
          <cell r="AB31">
            <v>0.44260072</v>
          </cell>
          <cell r="AC31">
            <v>172</v>
          </cell>
        </row>
        <row r="32">
          <cell r="AA32">
            <v>42</v>
          </cell>
          <cell r="AB32">
            <v>0.48064695000000002</v>
          </cell>
          <cell r="AC32">
            <v>195</v>
          </cell>
        </row>
        <row r="33">
          <cell r="AA33">
            <v>43</v>
          </cell>
          <cell r="AB33">
            <v>0.54062270999999995</v>
          </cell>
          <cell r="AC33">
            <v>160</v>
          </cell>
        </row>
        <row r="34">
          <cell r="AA34">
            <v>44</v>
          </cell>
          <cell r="AB34">
            <v>0.32306489999999999</v>
          </cell>
          <cell r="AC34">
            <v>162</v>
          </cell>
        </row>
        <row r="35">
          <cell r="AA35">
            <v>45</v>
          </cell>
          <cell r="AB35">
            <v>0.46572206999999999</v>
          </cell>
          <cell r="AC35">
            <v>176</v>
          </cell>
        </row>
        <row r="36">
          <cell r="AA36">
            <v>46</v>
          </cell>
          <cell r="AB36">
            <v>0.63649986000000003</v>
          </cell>
          <cell r="AC36">
            <v>126</v>
          </cell>
        </row>
        <row r="37">
          <cell r="AA37">
            <v>47</v>
          </cell>
          <cell r="AB37">
            <v>0.51730050000000005</v>
          </cell>
          <cell r="AC37">
            <v>151</v>
          </cell>
        </row>
        <row r="38">
          <cell r="AA38">
            <v>48</v>
          </cell>
          <cell r="AB38">
            <v>0.75751767000000003</v>
          </cell>
          <cell r="AC38">
            <v>122</v>
          </cell>
        </row>
        <row r="39">
          <cell r="AA39">
            <v>49</v>
          </cell>
          <cell r="AB39">
            <v>0.54258373999999998</v>
          </cell>
          <cell r="AC39">
            <v>93</v>
          </cell>
        </row>
      </sheetData>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Model data"/>
      <sheetName val="Maternal orphanhood"/>
      <sheetName val="Paternal orphanhood"/>
      <sheetName val="Graphs"/>
    </sheetNames>
    <sheetDataSet>
      <sheetData sheetId="0">
        <row r="11">
          <cell r="D11" t="str">
            <v>UN General</v>
          </cell>
        </row>
      </sheetData>
      <sheetData sheetId="1"/>
      <sheetData sheetId="2">
        <row r="1">
          <cell r="S1">
            <v>1999.65</v>
          </cell>
        </row>
        <row r="57">
          <cell r="D57">
            <v>26.750483870967741</v>
          </cell>
        </row>
      </sheetData>
      <sheetData sheetId="3">
        <row r="43">
          <cell r="C43">
            <v>32.96050811424012</v>
          </cell>
        </row>
      </sheetData>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Model data"/>
      <sheetName val="Maternal orphanhood"/>
      <sheetName val="Paternal orphanhood"/>
      <sheetName val="Charts"/>
    </sheetNames>
    <sheetDataSet>
      <sheetData sheetId="0">
        <row r="11">
          <cell r="D11" t="str">
            <v>Princeton South</v>
          </cell>
        </row>
      </sheetData>
      <sheetData sheetId="1"/>
      <sheetData sheetId="2">
        <row r="1">
          <cell r="T1">
            <v>1999.65</v>
          </cell>
        </row>
        <row r="43">
          <cell r="D43">
            <v>26.750483870967741</v>
          </cell>
        </row>
      </sheetData>
      <sheetData sheetId="3">
        <row r="31">
          <cell r="C31">
            <v>32.96050811424012</v>
          </cell>
        </row>
      </sheetData>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OMP"/>
      <sheetName val="COMPARE"/>
      <sheetName val="ADJUST"/>
      <sheetName val="Feeney adj. TFR"/>
    </sheetNames>
    <sheetDataSet>
      <sheetData sheetId="0">
        <row r="3">
          <cell r="V3" t="str">
            <v xml:space="preserve"> </v>
          </cell>
          <cell r="W3">
            <v>-2.4021090835736705</v>
          </cell>
          <cell r="X3" t="e">
            <v>#N/A</v>
          </cell>
          <cell r="Y3">
            <v>-2.4986293679400342</v>
          </cell>
        </row>
        <row r="4">
          <cell r="V4" t="str">
            <v xml:space="preserve">  F20</v>
          </cell>
          <cell r="W4">
            <v>-1.4501268260865627</v>
          </cell>
          <cell r="X4">
            <v>-1.507615229605147</v>
          </cell>
          <cell r="Y4">
            <v>-1.5444845080549436</v>
          </cell>
        </row>
        <row r="5">
          <cell r="V5" t="str">
            <v xml:space="preserve">  F25</v>
          </cell>
          <cell r="W5">
            <v>-0.74298121534953399</v>
          </cell>
          <cell r="X5">
            <v>-0.87023508247751102</v>
          </cell>
          <cell r="Y5">
            <v>-0.83573248629347074</v>
          </cell>
        </row>
        <row r="6">
          <cell r="V6" t="str">
            <v xml:space="preserve">  F30</v>
          </cell>
          <cell r="W6">
            <v>-3.8167221418934326E-2</v>
          </cell>
          <cell r="X6">
            <v>-0.16344409305232799</v>
          </cell>
          <cell r="Y6">
            <v>-0.12931737803388188</v>
          </cell>
        </row>
        <row r="7">
          <cell r="V7" t="str">
            <v xml:space="preserve">  F35</v>
          </cell>
          <cell r="W7">
            <v>0.83562685790156843</v>
          </cell>
          <cell r="X7">
            <v>0.77821183247006775</v>
          </cell>
          <cell r="Y7">
            <v>0.74646168488943454</v>
          </cell>
        </row>
        <row r="8">
          <cell r="V8" t="str">
            <v xml:space="preserve"> </v>
          </cell>
          <cell r="W8">
            <v>2.1649127615274719</v>
          </cell>
          <cell r="X8" t="e">
            <v>#N/A</v>
          </cell>
          <cell r="Y8">
            <v>2.0787673053852451</v>
          </cell>
        </row>
        <row r="9">
          <cell r="V9" t="str">
            <v xml:space="preserve"> </v>
          </cell>
          <cell r="W9">
            <v>4.4556107747849927</v>
          </cell>
          <cell r="X9" t="e">
            <v>#N/A</v>
          </cell>
          <cell r="Y9">
            <v>4.3746690595502917</v>
          </cell>
        </row>
        <row r="12">
          <cell r="V12" t="str">
            <v xml:space="preserve"> </v>
          </cell>
          <cell r="W12">
            <v>-2.6450203494436626</v>
          </cell>
          <cell r="X12" t="e">
            <v>#N/A</v>
          </cell>
          <cell r="Y12">
            <v>-2.4175489202337466</v>
          </cell>
        </row>
        <row r="13">
          <cell r="V13" t="str">
            <v xml:space="preserve">  P20</v>
          </cell>
          <cell r="W13">
            <v>-1.743792567240362</v>
          </cell>
          <cell r="X13">
            <v>-1.6111279326936219</v>
          </cell>
          <cell r="Y13">
            <v>-1.6445684703685801</v>
          </cell>
        </row>
        <row r="14">
          <cell r="V14" t="str">
            <v xml:space="preserve">  P25</v>
          </cell>
          <cell r="W14">
            <v>-1.0156961788944672</v>
          </cell>
          <cell r="X14">
            <v>-1.0220034711598767</v>
          </cell>
          <cell r="Y14">
            <v>-1.0200823139022515</v>
          </cell>
        </row>
        <row r="15">
          <cell r="V15" t="str">
            <v xml:space="preserve">  P30</v>
          </cell>
          <cell r="W15">
            <v>-0.33548833339317602</v>
          </cell>
          <cell r="X15">
            <v>-0.52730233551108063</v>
          </cell>
          <cell r="Y15">
            <v>-0.4366700214716176</v>
          </cell>
        </row>
        <row r="16">
          <cell r="V16" t="str">
            <v xml:space="preserve">  P35</v>
          </cell>
          <cell r="W16">
            <v>0.43909113247098358</v>
          </cell>
          <cell r="X16">
            <v>0.28679746912635884</v>
          </cell>
          <cell r="Y16">
            <v>0.2276845355042289</v>
          </cell>
        </row>
        <row r="17">
          <cell r="V17" t="str">
            <v xml:space="preserve"> </v>
          </cell>
          <cell r="W17">
            <v>1.5116837766574984</v>
          </cell>
          <cell r="X17" t="e">
            <v>#N/A</v>
          </cell>
          <cell r="Y17">
            <v>1.1476441295132076</v>
          </cell>
        </row>
        <row r="18">
          <cell r="V18" t="str">
            <v xml:space="preserve"> </v>
          </cell>
          <cell r="W18">
            <v>3.2103875700248783</v>
          </cell>
          <cell r="X18" t="e">
            <v>#N/A</v>
          </cell>
          <cell r="Y18">
            <v>2.6046174367215493</v>
          </cell>
        </row>
        <row r="19">
          <cell r="V19" t="str">
            <v xml:space="preserve"> </v>
          </cell>
          <cell r="W19">
            <v>6.0547232610015094</v>
          </cell>
          <cell r="Y19">
            <v>5.0441958933505049</v>
          </cell>
        </row>
        <row r="26">
          <cell r="Y26">
            <v>13.5</v>
          </cell>
          <cell r="Z26">
            <v>3.4942844948396688E-2</v>
          </cell>
          <cell r="AB26" t="str">
            <v>P</v>
          </cell>
          <cell r="AC26">
            <v>4.7745730018919647E-3</v>
          </cell>
          <cell r="AE26">
            <v>3.8700760144216373</v>
          </cell>
          <cell r="AF26" t="str">
            <v>shape:</v>
          </cell>
        </row>
        <row r="27">
          <cell r="Y27">
            <v>17.5</v>
          </cell>
          <cell r="Z27">
            <v>0.21084286445625874</v>
          </cell>
          <cell r="AB27" t="str">
            <v>P</v>
          </cell>
          <cell r="AC27">
            <v>0.21314937495649397</v>
          </cell>
        </row>
        <row r="28">
          <cell r="Y28">
            <v>22.5</v>
          </cell>
          <cell r="Z28">
            <v>0.83731857700906287</v>
          </cell>
          <cell r="AB28" t="str">
            <v>P</v>
          </cell>
          <cell r="AC28">
            <v>0.86191053201360268</v>
          </cell>
          <cell r="AE28">
            <v>3.8700760144216373</v>
          </cell>
          <cell r="AF28" t="str">
            <v>separate</v>
          </cell>
        </row>
        <row r="29">
          <cell r="Y29">
            <v>27.5</v>
          </cell>
          <cell r="Z29">
            <v>1.633351413218336</v>
          </cell>
          <cell r="AB29" t="str">
            <v>P</v>
          </cell>
          <cell r="AC29">
            <v>1.6565527948962453</v>
          </cell>
        </row>
        <row r="30">
          <cell r="Y30">
            <v>32.5</v>
          </cell>
          <cell r="Z30">
            <v>2.509503539898799</v>
          </cell>
          <cell r="AB30" t="str">
            <v>P</v>
          </cell>
          <cell r="AC30">
            <v>2.4327447877779402</v>
          </cell>
        </row>
        <row r="31">
          <cell r="Y31">
            <v>37.5</v>
          </cell>
          <cell r="Z31">
            <v>3.1888325557518113</v>
          </cell>
          <cell r="AB31" t="str">
            <v>P</v>
          </cell>
          <cell r="AC31">
            <v>3.1207792602208806</v>
          </cell>
        </row>
        <row r="32">
          <cell r="Y32">
            <v>42.5</v>
          </cell>
          <cell r="Z32">
            <v>3.7306010413349315</v>
          </cell>
          <cell r="AB32" t="str">
            <v>P</v>
          </cell>
          <cell r="AC32">
            <v>3.6391032315912129</v>
          </cell>
        </row>
        <row r="33">
          <cell r="Y33">
            <v>47.5</v>
          </cell>
          <cell r="Z33">
            <v>4.0716709951667305</v>
          </cell>
          <cell r="AB33" t="str">
            <v>P</v>
          </cell>
          <cell r="AC33">
            <v>3.8454467289171261</v>
          </cell>
        </row>
        <row r="35">
          <cell r="Y35">
            <v>14.5</v>
          </cell>
          <cell r="Z35">
            <v>5.8586610577897949E-3</v>
          </cell>
          <cell r="AB35" t="str">
            <v>F</v>
          </cell>
          <cell r="AC35">
            <v>1.6253744519433818E-3</v>
          </cell>
          <cell r="AE35">
            <v>2.8700760144216373</v>
          </cell>
          <cell r="AF35" t="str">
            <v>level:</v>
          </cell>
        </row>
        <row r="36">
          <cell r="Y36">
            <v>19.5</v>
          </cell>
          <cell r="Z36">
            <v>0.1626223251164173</v>
          </cell>
          <cell r="AB36" t="str">
            <v>F</v>
          </cell>
          <cell r="AC36">
            <v>0.15930721495654426</v>
          </cell>
        </row>
        <row r="37">
          <cell r="Y37">
            <v>24.5</v>
          </cell>
          <cell r="Z37">
            <v>0.53281715315856693</v>
          </cell>
          <cell r="AB37" t="str">
            <v>F</v>
          </cell>
          <cell r="AC37">
            <v>0.54574423789689863</v>
          </cell>
          <cell r="AE37">
            <v>2.8700760144216373</v>
          </cell>
          <cell r="AF37" t="str">
            <v>F 15 to 35</v>
          </cell>
        </row>
        <row r="38">
          <cell r="Y38">
            <v>29.5</v>
          </cell>
          <cell r="Z38">
            <v>0.94973188784006068</v>
          </cell>
          <cell r="AB38" t="str">
            <v>F</v>
          </cell>
          <cell r="AC38">
            <v>0.95388967737444674</v>
          </cell>
        </row>
        <row r="39">
          <cell r="Y39">
            <v>34.5</v>
          </cell>
          <cell r="Z39">
            <v>1.3100528095079462</v>
          </cell>
          <cell r="AB39" t="str">
            <v>F</v>
          </cell>
          <cell r="AC39">
            <v>1.3016641393600896</v>
          </cell>
        </row>
        <row r="40">
          <cell r="Y40">
            <v>39.5</v>
          </cell>
          <cell r="Z40">
            <v>1.5599895984919026</v>
          </cell>
          <cell r="AB40" t="str">
            <v>F</v>
          </cell>
          <cell r="AC40">
            <v>1.5587554791311002</v>
          </cell>
        </row>
        <row r="41">
          <cell r="Y41">
            <v>44.5</v>
          </cell>
          <cell r="Z41">
            <v>1.7054253960153094</v>
          </cell>
          <cell r="AB41" t="str">
            <v>F</v>
          </cell>
          <cell r="AC41">
            <v>1.688054517008271</v>
          </cell>
        </row>
        <row r="42">
          <cell r="Y42">
            <v>49.5</v>
          </cell>
          <cell r="Z42">
            <v>1.7816517240609606</v>
          </cell>
          <cell r="AB42" t="str">
            <v>F</v>
          </cell>
          <cell r="AC42">
            <v>1.7084519866900585</v>
          </cell>
        </row>
        <row r="44">
          <cell r="Y44">
            <v>13.504003814440011</v>
          </cell>
          <cell r="AA44" t="str">
            <v xml:space="preserve"> </v>
          </cell>
        </row>
        <row r="45">
          <cell r="Y45">
            <v>14.5</v>
          </cell>
          <cell r="AA45" t="str">
            <v xml:space="preserve"> </v>
          </cell>
        </row>
        <row r="46">
          <cell r="Y46">
            <v>17.94764765779551</v>
          </cell>
          <cell r="AA46" t="str">
            <v xml:space="preserve"> </v>
          </cell>
        </row>
        <row r="47">
          <cell r="Y47">
            <v>19.5</v>
          </cell>
          <cell r="AA47" t="str">
            <v xml:space="preserve"> </v>
          </cell>
        </row>
        <row r="48">
          <cell r="Y48">
            <v>22.410865210263967</v>
          </cell>
          <cell r="AA48" t="str">
            <v xml:space="preserve"> </v>
          </cell>
        </row>
        <row r="49">
          <cell r="Y49">
            <v>24.5</v>
          </cell>
          <cell r="AA49" t="str">
            <v xml:space="preserve"> </v>
          </cell>
          <cell r="AE49">
            <v>2.3700760144216373</v>
          </cell>
          <cell r="AF49" t="str">
            <v>P 15 to 35</v>
          </cell>
        </row>
        <row r="50">
          <cell r="Y50">
            <v>27.445027935971265</v>
          </cell>
          <cell r="AA50" t="str">
            <v xml:space="preserve"> </v>
          </cell>
        </row>
        <row r="51">
          <cell r="Y51">
            <v>29.5</v>
          </cell>
          <cell r="AA51" t="str">
            <v xml:space="preserve"> </v>
          </cell>
        </row>
        <row r="52">
          <cell r="Y52">
            <v>32.517785477812403</v>
          </cell>
          <cell r="AA52" t="str">
            <v xml:space="preserve"> </v>
          </cell>
        </row>
        <row r="53">
          <cell r="Y53">
            <v>34.5</v>
          </cell>
          <cell r="AA53" t="str">
            <v xml:space="preserve"> </v>
          </cell>
        </row>
        <row r="54">
          <cell r="Y54">
            <v>37.544235773557418</v>
          </cell>
          <cell r="AA54" t="str">
            <v xml:space="preserve"> </v>
          </cell>
        </row>
        <row r="55">
          <cell r="Y55">
            <v>39.5</v>
          </cell>
          <cell r="AA55" t="str">
            <v xml:space="preserve"> </v>
          </cell>
        </row>
        <row r="56">
          <cell r="Y56">
            <v>42.536611047768147</v>
          </cell>
          <cell r="AA56" t="str">
            <v xml:space="preserve"> </v>
          </cell>
        </row>
        <row r="57">
          <cell r="Y57">
            <v>44.5</v>
          </cell>
          <cell r="AA57" t="str">
            <v xml:space="preserve"> </v>
          </cell>
        </row>
        <row r="58">
          <cell r="Y58">
            <v>47.242548778134008</v>
          </cell>
          <cell r="AA58" t="str">
            <v xml:space="preserve"> </v>
          </cell>
        </row>
        <row r="59">
          <cell r="Y59">
            <v>49.5</v>
          </cell>
          <cell r="AA59" t="str">
            <v xml:space="preserve"> </v>
          </cell>
        </row>
        <row r="60">
          <cell r="Y60">
            <v>51.500000000000007</v>
          </cell>
          <cell r="AA60" t="str">
            <v xml:space="preserve"> </v>
          </cell>
        </row>
      </sheetData>
      <sheetData sheetId="1" refreshError="1"/>
      <sheetData sheetId="2" refreshError="1"/>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demographicestimation.iussp.org/content/generalized-growth-balance-method"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8"/>
  <sheetViews>
    <sheetView showGridLines="0" topLeftCell="A4" workbookViewId="0">
      <selection activeCell="A20" sqref="A20"/>
    </sheetView>
  </sheetViews>
  <sheetFormatPr defaultColWidth="9.109375" defaultRowHeight="18.75" customHeight="1"/>
  <cols>
    <col min="1" max="1" width="7.6640625" style="3" customWidth="1"/>
    <col min="2" max="2" width="97.6640625" style="3" customWidth="1"/>
    <col min="3" max="3" width="34.33203125" style="3" customWidth="1"/>
    <col min="4" max="4" width="16.44140625" style="3" customWidth="1"/>
    <col min="5" max="16384" width="9.109375" style="3"/>
  </cols>
  <sheetData>
    <row r="1" spans="1:4" ht="18.75" customHeight="1">
      <c r="A1" s="113" t="s">
        <v>101</v>
      </c>
      <c r="B1" s="114"/>
      <c r="D1" s="106"/>
    </row>
    <row r="2" spans="1:4" ht="18.75" customHeight="1">
      <c r="A2" s="4"/>
      <c r="B2" s="5"/>
    </row>
    <row r="3" spans="1:4" ht="18.75" customHeight="1">
      <c r="A3" s="115" t="s">
        <v>47</v>
      </c>
      <c r="B3" s="115"/>
    </row>
    <row r="4" spans="1:4" ht="18.75" customHeight="1">
      <c r="A4" s="116" t="s">
        <v>46</v>
      </c>
      <c r="B4" s="117"/>
    </row>
    <row r="6" spans="1:4" ht="59.25" customHeight="1">
      <c r="A6" s="118" t="s">
        <v>102</v>
      </c>
      <c r="B6" s="118"/>
    </row>
    <row r="7" spans="1:4" ht="18.75" customHeight="1" thickBot="1"/>
    <row r="8" spans="1:4" ht="18.75" customHeight="1" thickBot="1">
      <c r="A8" s="6" t="s">
        <v>48</v>
      </c>
      <c r="C8" s="119" t="s">
        <v>49</v>
      </c>
      <c r="D8" s="120"/>
    </row>
    <row r="9" spans="1:4" ht="18.75" customHeight="1">
      <c r="A9" s="105">
        <v>1</v>
      </c>
      <c r="B9" s="107" t="s">
        <v>98</v>
      </c>
      <c r="C9" s="11" t="s">
        <v>50</v>
      </c>
      <c r="D9" s="12" t="s">
        <v>51</v>
      </c>
    </row>
    <row r="10" spans="1:4" ht="19.5" customHeight="1">
      <c r="A10" s="9">
        <v>2</v>
      </c>
      <c r="B10" s="9" t="s">
        <v>97</v>
      </c>
      <c r="C10" s="13" t="s">
        <v>52</v>
      </c>
      <c r="D10" s="14" t="s">
        <v>72</v>
      </c>
    </row>
    <row r="11" spans="1:4" ht="17.25" customHeight="1">
      <c r="A11" s="7">
        <v>3</v>
      </c>
      <c r="B11" s="108" t="s">
        <v>103</v>
      </c>
      <c r="C11" s="13" t="s">
        <v>53</v>
      </c>
      <c r="D11" s="14" t="s">
        <v>68</v>
      </c>
    </row>
    <row r="12" spans="1:4" ht="18.75" customHeight="1">
      <c r="A12" s="7">
        <v>4</v>
      </c>
      <c r="B12" s="7" t="s">
        <v>54</v>
      </c>
      <c r="C12" s="17" t="s">
        <v>94</v>
      </c>
      <c r="D12" s="15">
        <v>37174</v>
      </c>
    </row>
    <row r="13" spans="1:4" ht="19.5" customHeight="1" thickBot="1">
      <c r="A13" s="7">
        <v>5</v>
      </c>
      <c r="B13" s="7" t="s">
        <v>55</v>
      </c>
      <c r="C13" s="18" t="s">
        <v>95</v>
      </c>
      <c r="D13" s="16">
        <v>39128</v>
      </c>
    </row>
    <row r="14" spans="1:4" ht="18.75" customHeight="1">
      <c r="A14" s="7">
        <v>6</v>
      </c>
      <c r="B14" s="7" t="s">
        <v>56</v>
      </c>
    </row>
    <row r="15" spans="1:4" ht="54.75" customHeight="1">
      <c r="A15" s="7">
        <v>7</v>
      </c>
      <c r="B15" s="8" t="s">
        <v>57</v>
      </c>
    </row>
    <row r="16" spans="1:4" ht="23.25" customHeight="1">
      <c r="A16" s="7">
        <v>8</v>
      </c>
      <c r="B16" s="8" t="s">
        <v>105</v>
      </c>
    </row>
    <row r="17" spans="1:2" ht="22.5" customHeight="1">
      <c r="A17" s="7">
        <v>9</v>
      </c>
      <c r="B17" s="8" t="s">
        <v>106</v>
      </c>
    </row>
    <row r="18" spans="1:2" ht="15.6">
      <c r="A18" s="7">
        <v>10</v>
      </c>
      <c r="B18" s="8" t="s">
        <v>104</v>
      </c>
    </row>
    <row r="19" spans="1:2" ht="33" customHeight="1">
      <c r="A19" s="7">
        <v>11</v>
      </c>
      <c r="B19" s="8" t="s">
        <v>99</v>
      </c>
    </row>
    <row r="20" spans="1:2" ht="18.75" customHeight="1">
      <c r="A20" s="7">
        <v>12</v>
      </c>
      <c r="B20" s="7" t="s">
        <v>107</v>
      </c>
    </row>
    <row r="21" spans="1:2" ht="18.75" customHeight="1">
      <c r="A21" s="7"/>
      <c r="B21" s="8"/>
    </row>
    <row r="23" spans="1:2" ht="18.75" customHeight="1">
      <c r="A23" s="7"/>
      <c r="B23" s="8"/>
    </row>
    <row r="24" spans="1:2" ht="18.75" customHeight="1">
      <c r="A24" s="7"/>
      <c r="B24" s="8"/>
    </row>
    <row r="25" spans="1:2" ht="18.75" customHeight="1">
      <c r="A25" s="7"/>
      <c r="B25" s="8"/>
    </row>
    <row r="26" spans="1:2" ht="18.75" customHeight="1">
      <c r="A26" s="7"/>
      <c r="B26" s="8"/>
    </row>
    <row r="27" spans="1:2" ht="18.75" customHeight="1">
      <c r="A27" s="7"/>
      <c r="B27" s="8"/>
    </row>
    <row r="28" spans="1:2" ht="18.75" customHeight="1">
      <c r="A28" s="9"/>
      <c r="B28" s="10"/>
    </row>
    <row r="29" spans="1:2" ht="18.75" customHeight="1">
      <c r="A29" s="9"/>
      <c r="B29" s="10"/>
    </row>
    <row r="30" spans="1:2" ht="18.75" customHeight="1">
      <c r="A30" s="9"/>
      <c r="B30" s="10"/>
    </row>
    <row r="31" spans="1:2" ht="18.75" customHeight="1">
      <c r="A31" s="9"/>
      <c r="B31" s="10"/>
    </row>
    <row r="32" spans="1:2" ht="18.75" customHeight="1">
      <c r="A32" s="9"/>
      <c r="B32" s="10"/>
    </row>
    <row r="33" spans="1:2" ht="18.75" customHeight="1">
      <c r="A33" s="9"/>
      <c r="B33" s="10"/>
    </row>
    <row r="34" spans="1:2" ht="18.75" customHeight="1">
      <c r="A34" s="9"/>
      <c r="B34" s="9"/>
    </row>
    <row r="35" spans="1:2" ht="18.75" customHeight="1">
      <c r="A35" s="9"/>
      <c r="B35" s="9"/>
    </row>
    <row r="36" spans="1:2" ht="18.75" customHeight="1">
      <c r="A36" s="9"/>
      <c r="B36" s="9"/>
    </row>
    <row r="37" spans="1:2" ht="18.75" customHeight="1">
      <c r="A37" s="9"/>
      <c r="B37" s="9"/>
    </row>
    <row r="38" spans="1:2" ht="18.75" customHeight="1">
      <c r="A38" s="9"/>
      <c r="B38" s="9"/>
    </row>
    <row r="39" spans="1:2" ht="18.75" customHeight="1">
      <c r="A39" s="9"/>
      <c r="B39" s="9"/>
    </row>
    <row r="40" spans="1:2" ht="18.75" customHeight="1">
      <c r="A40" s="9"/>
      <c r="B40" s="9"/>
    </row>
    <row r="41" spans="1:2" ht="18.75" customHeight="1">
      <c r="A41" s="9"/>
      <c r="B41" s="9"/>
    </row>
    <row r="42" spans="1:2" ht="18.75" customHeight="1">
      <c r="A42" s="9"/>
      <c r="B42" s="9"/>
    </row>
    <row r="43" spans="1:2" ht="18.75" customHeight="1">
      <c r="A43" s="9"/>
      <c r="B43" s="9"/>
    </row>
    <row r="44" spans="1:2" ht="18.75" customHeight="1">
      <c r="A44" s="9"/>
      <c r="B44" s="9"/>
    </row>
    <row r="45" spans="1:2" ht="18.75" customHeight="1">
      <c r="A45" s="9"/>
      <c r="B45" s="9"/>
    </row>
    <row r="46" spans="1:2" ht="18.75" customHeight="1">
      <c r="A46" s="9"/>
      <c r="B46" s="9"/>
    </row>
    <row r="47" spans="1:2" ht="18.75" customHeight="1">
      <c r="A47" s="9"/>
      <c r="B47" s="9"/>
    </row>
    <row r="48" spans="1:2" ht="18.75" customHeight="1">
      <c r="A48" s="9"/>
      <c r="B48" s="9"/>
    </row>
    <row r="49" spans="1:2" ht="18.75" customHeight="1">
      <c r="A49" s="9"/>
      <c r="B49" s="9"/>
    </row>
    <row r="50" spans="1:2" ht="18.75" customHeight="1">
      <c r="A50" s="9"/>
      <c r="B50" s="9"/>
    </row>
    <row r="51" spans="1:2" ht="18.75" customHeight="1">
      <c r="A51" s="9"/>
      <c r="B51" s="9"/>
    </row>
    <row r="52" spans="1:2" ht="18.75" customHeight="1">
      <c r="A52" s="9"/>
      <c r="B52" s="9"/>
    </row>
    <row r="53" spans="1:2" ht="18.75" customHeight="1">
      <c r="A53" s="9"/>
      <c r="B53" s="9"/>
    </row>
    <row r="54" spans="1:2" ht="18.75" customHeight="1">
      <c r="A54" s="9"/>
      <c r="B54" s="9"/>
    </row>
    <row r="55" spans="1:2" ht="18.75" customHeight="1">
      <c r="A55" s="9"/>
      <c r="B55" s="9"/>
    </row>
    <row r="56" spans="1:2" ht="18.75" customHeight="1">
      <c r="A56" s="9"/>
      <c r="B56" s="9"/>
    </row>
    <row r="57" spans="1:2" ht="18.75" customHeight="1">
      <c r="A57" s="9"/>
      <c r="B57" s="9"/>
    </row>
    <row r="58" spans="1:2" ht="18.75" customHeight="1">
      <c r="A58" s="9"/>
      <c r="B58" s="9"/>
    </row>
  </sheetData>
  <sheetProtection selectLockedCells="1"/>
  <mergeCells count="5">
    <mergeCell ref="A1:B1"/>
    <mergeCell ref="A3:B3"/>
    <mergeCell ref="A4:B4"/>
    <mergeCell ref="A6:B6"/>
    <mergeCell ref="C8:D8"/>
  </mergeCells>
  <phoneticPr fontId="36" type="noConversion"/>
  <dataValidations count="2">
    <dataValidation type="list" showInputMessage="1" showErrorMessage="1" sqref="D10">
      <formula1>"男性,女性"</formula1>
    </dataValidation>
    <dataValidation type="list" showInputMessage="1" showErrorMessage="1" sqref="D11">
      <formula1>"联合国一般, 普林斯顿东部,普林斯顿北部,普林斯顿南部,普林斯顿西部, 艾滋病,其他"</formula1>
    </dataValidation>
  </dataValidations>
  <hyperlinks>
    <hyperlink ref="A4"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59999389629810485"/>
  </sheetPr>
  <dimension ref="A1:Q42"/>
  <sheetViews>
    <sheetView topLeftCell="A22" workbookViewId="0">
      <selection activeCell="B26" sqref="B26"/>
    </sheetView>
  </sheetViews>
  <sheetFormatPr defaultColWidth="9.109375" defaultRowHeight="15"/>
  <cols>
    <col min="1" max="1" width="7.6640625" style="20" customWidth="1"/>
    <col min="2" max="2" width="12" style="20" customWidth="1"/>
    <col min="3" max="6" width="14.5546875" style="20" customWidth="1"/>
    <col min="7" max="7" width="12.5546875" style="20" customWidth="1"/>
    <col min="8" max="8" width="12.109375" style="20" customWidth="1"/>
    <col min="9" max="9" width="4.5546875" style="20" customWidth="1"/>
    <col min="10" max="10" width="7.5546875" style="20" customWidth="1"/>
    <col min="11" max="15" width="12" style="20" customWidth="1"/>
    <col min="16" max="16" width="11.88671875" style="20" customWidth="1"/>
    <col min="17" max="17" width="10.88671875" style="20" customWidth="1"/>
    <col min="18" max="16384" width="9.109375" style="20"/>
  </cols>
  <sheetData>
    <row r="1" spans="1:17" ht="18">
      <c r="A1" s="19" t="s">
        <v>58</v>
      </c>
      <c r="G1" s="21" t="s">
        <v>59</v>
      </c>
      <c r="H1" s="22"/>
      <c r="J1" s="19" t="s">
        <v>60</v>
      </c>
      <c r="P1" s="21" t="s">
        <v>61</v>
      </c>
      <c r="Q1" s="22"/>
    </row>
    <row r="2" spans="1:17" ht="33" customHeight="1">
      <c r="A2" s="23" t="s">
        <v>62</v>
      </c>
      <c r="B2" s="24" t="s">
        <v>63</v>
      </c>
      <c r="C2" s="24" t="s">
        <v>64</v>
      </c>
      <c r="D2" s="24" t="s">
        <v>65</v>
      </c>
      <c r="E2" s="24" t="s">
        <v>66</v>
      </c>
      <c r="F2" s="24" t="s">
        <v>67</v>
      </c>
      <c r="G2" s="24" t="s">
        <v>68</v>
      </c>
      <c r="H2" s="24" t="s">
        <v>69</v>
      </c>
      <c r="J2" s="23" t="s">
        <v>62</v>
      </c>
      <c r="K2" s="24" t="s">
        <v>63</v>
      </c>
      <c r="L2" s="24" t="s">
        <v>64</v>
      </c>
      <c r="M2" s="24" t="s">
        <v>65</v>
      </c>
      <c r="N2" s="24" t="s">
        <v>66</v>
      </c>
      <c r="O2" s="24" t="s">
        <v>67</v>
      </c>
      <c r="P2" s="24" t="s">
        <v>68</v>
      </c>
      <c r="Q2" s="111" t="s">
        <v>69</v>
      </c>
    </row>
    <row r="3" spans="1:17">
      <c r="A3" s="25">
        <v>5</v>
      </c>
      <c r="B3" s="26">
        <v>-1.0557703137725243</v>
      </c>
      <c r="C3" s="26">
        <v>-1.0034528162299363</v>
      </c>
      <c r="D3" s="26">
        <v>-1.061325256602174</v>
      </c>
      <c r="E3" s="26">
        <v>-0.90879111177777439</v>
      </c>
      <c r="F3" s="26">
        <v>-1.0842444395521329</v>
      </c>
      <c r="G3" s="27">
        <v>-0.85180455224953355</v>
      </c>
      <c r="H3" s="28"/>
      <c r="J3" s="25">
        <v>5</v>
      </c>
      <c r="K3" s="26">
        <v>-1.1183426521790116</v>
      </c>
      <c r="L3" s="26">
        <v>-1.0839281949744348</v>
      </c>
      <c r="M3" s="26">
        <v>-1.1185632260148939</v>
      </c>
      <c r="N3" s="26">
        <v>-0.97803104804351482</v>
      </c>
      <c r="O3" s="26">
        <v>-1.1443836734991739</v>
      </c>
      <c r="P3" s="26">
        <v>-0.79829676250861992</v>
      </c>
      <c r="Q3" s="28"/>
    </row>
    <row r="4" spans="1:17">
      <c r="A4" s="25">
        <v>10</v>
      </c>
      <c r="B4" s="26">
        <v>-1.0059690881890577</v>
      </c>
      <c r="C4" s="26">
        <v>-0.96210277111891918</v>
      </c>
      <c r="D4" s="26">
        <v>-0.97867737240738273</v>
      </c>
      <c r="E4" s="26">
        <v>-0.87426674682746675</v>
      </c>
      <c r="F4" s="26">
        <v>-1.0329081865332934</v>
      </c>
      <c r="G4" s="26">
        <v>-0.799205207567936</v>
      </c>
      <c r="H4" s="28"/>
      <c r="J4" s="25">
        <v>10</v>
      </c>
      <c r="K4" s="26">
        <v>-1.0743948523980273</v>
      </c>
      <c r="L4" s="26">
        <v>-1.0472539080439389</v>
      </c>
      <c r="M4" s="26">
        <v>-1.0393562968308907</v>
      </c>
      <c r="N4" s="26">
        <v>-0.94784307566733739</v>
      </c>
      <c r="O4" s="26">
        <v>-1.0968312103313975</v>
      </c>
      <c r="P4" s="26">
        <v>-0.73689617552188336</v>
      </c>
      <c r="Q4" s="28"/>
    </row>
    <row r="5" spans="1:17">
      <c r="A5" s="25">
        <v>15</v>
      </c>
      <c r="B5" s="26">
        <v>-0.9778828398588445</v>
      </c>
      <c r="C5" s="26">
        <v>-0.93688771389348002</v>
      </c>
      <c r="D5" s="26">
        <v>-0.93456378789298888</v>
      </c>
      <c r="E5" s="26">
        <v>-0.85272014880258951</v>
      </c>
      <c r="F5" s="26">
        <v>-0.99562585121052949</v>
      </c>
      <c r="G5" s="26">
        <v>-0.77885315149743439</v>
      </c>
      <c r="H5" s="28"/>
      <c r="J5" s="25">
        <v>15</v>
      </c>
      <c r="K5" s="26">
        <v>-1.046640904616448</v>
      </c>
      <c r="L5" s="26">
        <v>-1.0232404683298353</v>
      </c>
      <c r="M5" s="26">
        <v>-0.99810318323243907</v>
      </c>
      <c r="N5" s="26">
        <v>-0.92724294571284704</v>
      </c>
      <c r="O5" s="26">
        <v>-1.0631132391187417</v>
      </c>
      <c r="P5" s="26">
        <v>-0.69613571586652812</v>
      </c>
      <c r="Q5" s="28"/>
    </row>
    <row r="6" spans="1:17">
      <c r="A6" s="25">
        <v>20</v>
      </c>
      <c r="B6" s="26">
        <v>-0.93810586936643969</v>
      </c>
      <c r="C6" s="26">
        <v>-0.90144694160929184</v>
      </c>
      <c r="D6" s="26">
        <v>-0.88577608039760869</v>
      </c>
      <c r="E6" s="26">
        <v>-0.82207221968309652</v>
      </c>
      <c r="F6" s="26">
        <v>-0.94491044364009291</v>
      </c>
      <c r="G6" s="26">
        <v>-0.73999984529103391</v>
      </c>
      <c r="H6" s="28"/>
      <c r="J6" s="25">
        <v>20</v>
      </c>
      <c r="K6" s="26">
        <v>-1.0066773582389617</v>
      </c>
      <c r="L6" s="26">
        <v>-0.98210627496614655</v>
      </c>
      <c r="M6" s="26">
        <v>-0.9416333856114224</v>
      </c>
      <c r="N6" s="26">
        <v>-0.89806980739238718</v>
      </c>
      <c r="O6" s="26">
        <v>-1.0130422551600544</v>
      </c>
      <c r="P6" s="26">
        <v>-0.66544049854843723</v>
      </c>
      <c r="Q6" s="28"/>
    </row>
    <row r="7" spans="1:17">
      <c r="A7" s="25">
        <v>25</v>
      </c>
      <c r="B7" s="26">
        <v>-0.88761866143951096</v>
      </c>
      <c r="C7" s="26">
        <v>-0.85645781794940679</v>
      </c>
      <c r="D7" s="26">
        <v>-0.83063229603261535</v>
      </c>
      <c r="E7" s="26">
        <v>-0.78407707634718316</v>
      </c>
      <c r="F7" s="26">
        <v>-0.88412226434856211</v>
      </c>
      <c r="G7" s="26">
        <v>-0.66746727013803897</v>
      </c>
      <c r="H7" s="28"/>
      <c r="J7" s="25">
        <v>25</v>
      </c>
      <c r="K7" s="26">
        <v>-0.95393531432576628</v>
      </c>
      <c r="L7" s="26">
        <v>-0.92677804853722057</v>
      </c>
      <c r="M7" s="26">
        <v>-0.86920613351053932</v>
      </c>
      <c r="N7" s="26">
        <v>-0.85624317643298331</v>
      </c>
      <c r="O7" s="26">
        <v>-0.94848666240099744</v>
      </c>
      <c r="P7" s="26">
        <v>-0.61930998136655224</v>
      </c>
      <c r="Q7" s="28"/>
    </row>
    <row r="8" spans="1:17">
      <c r="A8" s="25">
        <v>30</v>
      </c>
      <c r="B8" s="26">
        <v>-0.83222308793731981</v>
      </c>
      <c r="C8" s="26">
        <v>-0.80848565605858569</v>
      </c>
      <c r="D8" s="26">
        <v>-0.77200338720246053</v>
      </c>
      <c r="E8" s="26">
        <v>-0.74309524259921955</v>
      </c>
      <c r="F8" s="26">
        <v>-0.82136257147134217</v>
      </c>
      <c r="G8" s="26">
        <v>-0.55497544474088145</v>
      </c>
      <c r="H8" s="28"/>
      <c r="J8" s="25">
        <v>30</v>
      </c>
      <c r="K8" s="26">
        <v>-0.89866730377103976</v>
      </c>
      <c r="L8" s="26">
        <v>-0.87581973706212179</v>
      </c>
      <c r="M8" s="26">
        <v>-0.80208481424719991</v>
      </c>
      <c r="N8" s="26">
        <v>-0.81703262635799434</v>
      </c>
      <c r="O8" s="26">
        <v>-0.88773038554625583</v>
      </c>
      <c r="P8" s="26">
        <v>-0.53826653643964251</v>
      </c>
      <c r="Q8" s="28"/>
    </row>
    <row r="9" spans="1:17">
      <c r="A9" s="25">
        <v>35</v>
      </c>
      <c r="B9" s="26">
        <v>-0.77161320305701064</v>
      </c>
      <c r="C9" s="26">
        <v>-0.75720799673579831</v>
      </c>
      <c r="D9" s="26">
        <v>-0.71174620737879146</v>
      </c>
      <c r="E9" s="26">
        <v>-0.70212800843649648</v>
      </c>
      <c r="F9" s="26">
        <v>-0.75642199010305966</v>
      </c>
      <c r="G9" s="26">
        <v>-0.43949301509733479</v>
      </c>
      <c r="H9" s="28"/>
      <c r="J9" s="25">
        <v>35</v>
      </c>
      <c r="K9" s="26">
        <v>-0.83892900424050876</v>
      </c>
      <c r="L9" s="26">
        <v>-0.82474303239272606</v>
      </c>
      <c r="M9" s="26">
        <v>-0.73732351213430469</v>
      </c>
      <c r="N9" s="26">
        <v>-0.77189439731086973</v>
      </c>
      <c r="O9" s="26">
        <v>-0.8259381775987652</v>
      </c>
      <c r="P9" s="26">
        <v>-0.42396950774757225</v>
      </c>
      <c r="Q9" s="28"/>
    </row>
    <row r="10" spans="1:17">
      <c r="A10" s="25">
        <v>40</v>
      </c>
      <c r="B10" s="26">
        <v>-0.70536613769800149</v>
      </c>
      <c r="C10" s="26">
        <v>-0.70143650532592283</v>
      </c>
      <c r="D10" s="26">
        <v>-0.6489531581506035</v>
      </c>
      <c r="E10" s="26">
        <v>-0.65777314927556685</v>
      </c>
      <c r="F10" s="26">
        <v>-0.68862800696556059</v>
      </c>
      <c r="G10" s="26">
        <v>-0.34752805546091936</v>
      </c>
      <c r="H10" s="28"/>
      <c r="J10" s="25">
        <v>40</v>
      </c>
      <c r="K10" s="26">
        <v>-0.76900214861344063</v>
      </c>
      <c r="L10" s="26">
        <v>-0.76681316903129526</v>
      </c>
      <c r="M10" s="26">
        <v>-0.67218441284437103</v>
      </c>
      <c r="N10" s="26">
        <v>-0.72231250461550289</v>
      </c>
      <c r="O10" s="26">
        <v>-0.75696780176204026</v>
      </c>
      <c r="P10" s="26">
        <v>-0.30537040538400972</v>
      </c>
      <c r="Q10" s="28"/>
    </row>
    <row r="11" spans="1:17">
      <c r="A11" s="25">
        <v>45</v>
      </c>
      <c r="B11" s="26">
        <v>-0.63225842771700302</v>
      </c>
      <c r="C11" s="26">
        <v>-0.64063233149904941</v>
      </c>
      <c r="D11" s="26">
        <v>-0.58010435644994485</v>
      </c>
      <c r="E11" s="26">
        <v>-0.60809129187599065</v>
      </c>
      <c r="F11" s="26">
        <v>-0.61631192568392912</v>
      </c>
      <c r="G11" s="26">
        <v>-0.2796717464607949</v>
      </c>
      <c r="H11" s="28"/>
      <c r="J11" s="25">
        <v>45</v>
      </c>
      <c r="K11" s="26">
        <v>-0.68452755415039701</v>
      </c>
      <c r="L11" s="26">
        <v>-0.69542221623109723</v>
      </c>
      <c r="M11" s="26">
        <v>-0.6004320886314537</v>
      </c>
      <c r="N11" s="26">
        <v>-0.66038885146608195</v>
      </c>
      <c r="O11" s="26">
        <v>-0.67555110779524841</v>
      </c>
      <c r="P11" s="26">
        <v>-0.19102306031916078</v>
      </c>
      <c r="Q11" s="28"/>
    </row>
    <row r="12" spans="1:17">
      <c r="A12" s="25">
        <v>50</v>
      </c>
      <c r="B12" s="26">
        <v>-0.54716064042354773</v>
      </c>
      <c r="C12" s="26">
        <v>-0.56974874560225386</v>
      </c>
      <c r="D12" s="26">
        <v>-0.50864167857923615</v>
      </c>
      <c r="E12" s="26">
        <v>-0.55207839286799509</v>
      </c>
      <c r="F12" s="26">
        <v>-0.53540369879947558</v>
      </c>
      <c r="G12" s="26">
        <v>-0.22679742576773457</v>
      </c>
      <c r="H12" s="28"/>
      <c r="J12" s="25">
        <v>50</v>
      </c>
      <c r="K12" s="26">
        <v>-0.58094867734309374</v>
      </c>
      <c r="L12" s="26">
        <v>-0.60294976503765141</v>
      </c>
      <c r="M12" s="26">
        <v>-0.52059834010621253</v>
      </c>
      <c r="N12" s="26">
        <v>-0.58383201720449152</v>
      </c>
      <c r="O12" s="26">
        <v>-0.57720150892943201</v>
      </c>
      <c r="P12" s="26">
        <v>-9.1258238415243206E-2</v>
      </c>
      <c r="Q12" s="28"/>
    </row>
    <row r="13" spans="1:17">
      <c r="A13" s="25">
        <v>55</v>
      </c>
      <c r="B13" s="26">
        <v>-0.44323137082095437</v>
      </c>
      <c r="C13" s="26">
        <v>-0.48057184541702924</v>
      </c>
      <c r="D13" s="26">
        <v>-0.42279162488953242</v>
      </c>
      <c r="E13" s="26">
        <v>-0.48008226256731529</v>
      </c>
      <c r="F13" s="26">
        <v>-0.43713086722588262</v>
      </c>
      <c r="G13" s="26">
        <v>-0.17320805457698965</v>
      </c>
      <c r="H13" s="28"/>
      <c r="J13" s="25">
        <v>55</v>
      </c>
      <c r="K13" s="26">
        <v>-0.45326106749569572</v>
      </c>
      <c r="L13" s="26">
        <v>-0.48163530200651361</v>
      </c>
      <c r="M13" s="26">
        <v>-0.4210143479136163</v>
      </c>
      <c r="N13" s="26">
        <v>-0.48460666195853785</v>
      </c>
      <c r="O13" s="26">
        <v>-0.45582055810755873</v>
      </c>
      <c r="P13" s="26">
        <v>-5.7787208801094525E-3</v>
      </c>
      <c r="Q13" s="28"/>
    </row>
    <row r="14" spans="1:17">
      <c r="A14" s="25">
        <v>60</v>
      </c>
      <c r="B14" s="26">
        <v>-0.31406112015068494</v>
      </c>
      <c r="C14" s="26">
        <v>-0.36529580454443744</v>
      </c>
      <c r="D14" s="26">
        <v>-0.32102416945414897</v>
      </c>
      <c r="E14" s="26">
        <v>-0.38856998615937</v>
      </c>
      <c r="F14" s="26">
        <v>-0.3186589915311997</v>
      </c>
      <c r="G14" s="26">
        <v>-0.11051999808174573</v>
      </c>
      <c r="H14" s="28"/>
      <c r="J14" s="25">
        <v>60</v>
      </c>
      <c r="K14" s="26">
        <v>-0.29911364237741156</v>
      </c>
      <c r="L14" s="26">
        <v>-0.33065389097350745</v>
      </c>
      <c r="M14" s="26">
        <v>-0.30682105927662073</v>
      </c>
      <c r="N14" s="26">
        <v>-0.35965748316759905</v>
      </c>
      <c r="O14" s="26">
        <v>-0.30741359919534794</v>
      </c>
      <c r="P14" s="26">
        <v>8.0454876803862097E-2</v>
      </c>
      <c r="Q14" s="28"/>
    </row>
    <row r="15" spans="1:17">
      <c r="A15" s="25">
        <v>65</v>
      </c>
      <c r="B15" s="26">
        <v>-0.15350037229977559</v>
      </c>
      <c r="C15" s="26">
        <v>-0.21177193364854202</v>
      </c>
      <c r="D15" s="26">
        <v>-0.18761837894537206</v>
      </c>
      <c r="E15" s="26">
        <v>-0.25906906882787523</v>
      </c>
      <c r="F15" s="26">
        <v>-0.16637525937102554</v>
      </c>
      <c r="G15" s="26">
        <v>-2.4564773576284834E-2</v>
      </c>
      <c r="H15" s="28"/>
      <c r="J15" s="25">
        <v>65</v>
      </c>
      <c r="K15" s="26">
        <v>-0.11199770547699364</v>
      </c>
      <c r="L15" s="26">
        <v>-0.14845486484458761</v>
      </c>
      <c r="M15" s="26">
        <v>-0.16058401337471645</v>
      </c>
      <c r="N15" s="26">
        <v>-0.20182323747925654</v>
      </c>
      <c r="O15" s="26">
        <v>-0.1262176157653675</v>
      </c>
      <c r="P15" s="26">
        <v>0.18406648298591774</v>
      </c>
      <c r="Q15" s="28"/>
    </row>
    <row r="16" spans="1:17">
      <c r="A16" s="25">
        <v>70</v>
      </c>
      <c r="B16" s="26">
        <v>4.7202694544060057E-2</v>
      </c>
      <c r="C16" s="26">
        <v>-6.4627267002444113E-3</v>
      </c>
      <c r="D16" s="26">
        <v>-1.046876480077538E-2</v>
      </c>
      <c r="E16" s="26">
        <v>-7.9751647450351681E-2</v>
      </c>
      <c r="F16" s="26">
        <v>2.5988333390229997E-2</v>
      </c>
      <c r="G16" s="26">
        <v>0.1003150483892048</v>
      </c>
      <c r="H16" s="28"/>
      <c r="J16" s="25">
        <v>70</v>
      </c>
      <c r="K16" s="26">
        <v>0.11350757351291885</v>
      </c>
      <c r="L16" s="26">
        <v>7.4350889929898981E-2</v>
      </c>
      <c r="M16" s="26">
        <v>2.5027307118656625E-2</v>
      </c>
      <c r="N16" s="26">
        <v>-3.6304814007426826E-3</v>
      </c>
      <c r="O16" s="26">
        <v>9.2839228680570429E-2</v>
      </c>
      <c r="P16" s="26">
        <v>0.32605808533447933</v>
      </c>
      <c r="Q16" s="28"/>
    </row>
    <row r="17" spans="1:17">
      <c r="A17" s="25">
        <v>75</v>
      </c>
      <c r="B17" s="26">
        <v>0.29831344083201977</v>
      </c>
      <c r="C17" s="26">
        <v>0.26683377074043363</v>
      </c>
      <c r="D17" s="26">
        <v>0.22405908607537503</v>
      </c>
      <c r="E17" s="26">
        <v>0.17544223413848195</v>
      </c>
      <c r="F17" s="26">
        <v>0.27789225951999852</v>
      </c>
      <c r="G17" s="26">
        <v>0.26437837247892709</v>
      </c>
      <c r="H17" s="28"/>
      <c r="J17" s="25">
        <v>75</v>
      </c>
      <c r="K17" s="26">
        <v>0.38394770191107502</v>
      </c>
      <c r="L17" s="26">
        <v>0.35688919667802921</v>
      </c>
      <c r="M17" s="26">
        <v>0.26393791547571011</v>
      </c>
      <c r="N17" s="26">
        <v>0.26264157768898094</v>
      </c>
      <c r="O17" s="26">
        <v>0.36516868997048274</v>
      </c>
      <c r="P17" s="26">
        <v>0.5118891879176225</v>
      </c>
      <c r="Q17" s="28"/>
    </row>
    <row r="18" spans="1:17">
      <c r="A18" s="25">
        <v>80</v>
      </c>
      <c r="B18" s="26">
        <v>0.61317544977380356</v>
      </c>
      <c r="C18" s="26">
        <v>0.63032567098022951</v>
      </c>
      <c r="D18" s="26">
        <v>0.53050000260347951</v>
      </c>
      <c r="E18" s="26">
        <v>0.52941084062316079</v>
      </c>
      <c r="F18" s="26">
        <v>0.60865330973735543</v>
      </c>
      <c r="G18" s="26">
        <v>0.47887517915207028</v>
      </c>
      <c r="H18" s="28"/>
      <c r="J18" s="25">
        <v>80</v>
      </c>
      <c r="K18" s="26">
        <v>0.71024327752276806</v>
      </c>
      <c r="L18" s="26">
        <v>0.72453107950166995</v>
      </c>
      <c r="M18" s="26">
        <v>0.57732480411031639</v>
      </c>
      <c r="N18" s="26">
        <v>0.63094192216713241</v>
      </c>
      <c r="O18" s="26">
        <v>0.71611699723844735</v>
      </c>
      <c r="P18" s="26">
        <v>0.75588193380852187</v>
      </c>
      <c r="Q18" s="28"/>
    </row>
    <row r="19" spans="1:17">
      <c r="A19" s="29">
        <v>85</v>
      </c>
      <c r="B19" s="30">
        <v>1.0181822931175846</v>
      </c>
      <c r="C19" s="30">
        <v>1.1331829930730626</v>
      </c>
      <c r="D19" s="30">
        <v>0.94458953171090765</v>
      </c>
      <c r="E19" s="30">
        <v>1.0331091244568076</v>
      </c>
      <c r="F19" s="30">
        <v>1.0566921142266263</v>
      </c>
      <c r="G19" s="30">
        <v>0.76832737327098732</v>
      </c>
      <c r="H19" s="31"/>
      <c r="J19" s="29">
        <v>85</v>
      </c>
      <c r="K19" s="30">
        <v>1.1175905321542541</v>
      </c>
      <c r="L19" s="30">
        <v>1.2272198084146826</v>
      </c>
      <c r="M19" s="30">
        <v>1.0013626443891026</v>
      </c>
      <c r="N19" s="30">
        <v>1.1510053247399854</v>
      </c>
      <c r="O19" s="30">
        <v>1.1877303063916866</v>
      </c>
      <c r="P19" s="30">
        <v>1.0995381024185025</v>
      </c>
      <c r="Q19" s="31"/>
    </row>
    <row r="21" spans="1:17" ht="15.6">
      <c r="A21" s="32" t="s">
        <v>70</v>
      </c>
      <c r="G21" s="33"/>
      <c r="H21" s="33"/>
    </row>
    <row r="22" spans="1:17">
      <c r="A22" s="34"/>
      <c r="B22" s="34"/>
    </row>
    <row r="23" spans="1:17">
      <c r="A23" s="35"/>
      <c r="B23" s="36" t="str">
        <f>Introduction!D11</f>
        <v>艾滋病</v>
      </c>
      <c r="C23" s="36"/>
      <c r="D23" s="36" t="s">
        <v>71</v>
      </c>
    </row>
    <row r="24" spans="1:17" ht="16.2">
      <c r="A24" s="37" t="s">
        <v>62</v>
      </c>
      <c r="B24" s="38" t="s">
        <v>32</v>
      </c>
      <c r="C24" s="38"/>
      <c r="D24" s="38" t="s">
        <v>70</v>
      </c>
    </row>
    <row r="25" spans="1:17" ht="16.2">
      <c r="A25" s="39"/>
      <c r="B25" s="40" t="s">
        <v>33</v>
      </c>
      <c r="C25" s="40"/>
      <c r="D25" s="40" t="s">
        <v>34</v>
      </c>
    </row>
    <row r="26" spans="1:17">
      <c r="A26" s="25">
        <v>5</v>
      </c>
      <c r="B26" s="41">
        <f>IF(Introduction!$D$10="女性",HLOOKUP(Introduction!D$11,$B$2:$H$19,ROW()-ROW(B$26)+2,FALSE),HLOOKUP(Introduction!D$11,$K$2:$Q$19,ROW()-ROW(B$26)+2,FALSE))</f>
        <v>-0.85180455224953355</v>
      </c>
      <c r="C26" s="41">
        <f>1/(1+EXP(2*B26))</f>
        <v>0.8460055170956382</v>
      </c>
      <c r="D26" s="41">
        <f>C26/C$26</f>
        <v>1</v>
      </c>
    </row>
    <row r="27" spans="1:17">
      <c r="A27" s="25">
        <v>10</v>
      </c>
      <c r="B27" s="42">
        <f>IF(Introduction!$D$10="女性",HLOOKUP(Introduction!D$11,$B$2:$H$19,ROW()-ROW(B$26)+2,FALSE),HLOOKUP(Introduction!D$11,$K$2:$Q$19,ROW()-ROW(B$26)+2,FALSE))</f>
        <v>-0.799205207567936</v>
      </c>
      <c r="C27" s="42">
        <f>1/(1+EXP(2*B27))</f>
        <v>0.83179610145755278</v>
      </c>
      <c r="D27" s="42">
        <f>C27/C$26</f>
        <v>0.98320410996033836</v>
      </c>
    </row>
    <row r="28" spans="1:17">
      <c r="A28" s="25">
        <v>15</v>
      </c>
      <c r="B28" s="42">
        <f>IF(Introduction!$D$10="女性",HLOOKUP(Introduction!D$11,$B$2:$H$19,ROW()-ROW(B$26)+2,FALSE),HLOOKUP(Introduction!D$11,$K$2:$Q$19,ROW()-ROW(B$26)+2,FALSE))</f>
        <v>-0.77885315149743439</v>
      </c>
      <c r="C28" s="42">
        <f t="shared" ref="C28:C41" si="0">1/(1+EXP(2*B28))</f>
        <v>0.82602397598239741</v>
      </c>
      <c r="D28" s="42">
        <f t="shared" ref="D28:D41" si="1">C28/C$26</f>
        <v>0.97638131110322068</v>
      </c>
    </row>
    <row r="29" spans="1:17">
      <c r="A29" s="25">
        <v>20</v>
      </c>
      <c r="B29" s="42">
        <f>IF(Introduction!$D$10="女性",HLOOKUP(Introduction!D$11,$B$2:$H$19,ROW()-ROW(B$26)+2,FALSE),HLOOKUP(Introduction!D$11,$K$2:$Q$19,ROW()-ROW(B$26)+2,FALSE))</f>
        <v>-0.73999984529103391</v>
      </c>
      <c r="C29" s="42">
        <f t="shared" si="0"/>
        <v>0.81457253397126284</v>
      </c>
      <c r="D29" s="42">
        <f t="shared" si="1"/>
        <v>0.9628454159113693</v>
      </c>
    </row>
    <row r="30" spans="1:17">
      <c r="A30" s="25">
        <v>25</v>
      </c>
      <c r="B30" s="42">
        <f>IF(Introduction!$D$10="女性",HLOOKUP(Introduction!D$11,$B$2:$H$19,ROW()-ROW(B$26)+2,FALSE),HLOOKUP(Introduction!D$11,$K$2:$Q$19,ROW()-ROW(B$26)+2,FALSE))</f>
        <v>-0.66746727013803897</v>
      </c>
      <c r="C30" s="42">
        <f t="shared" si="0"/>
        <v>0.79165569420837567</v>
      </c>
      <c r="D30" s="42">
        <f t="shared" si="1"/>
        <v>0.9357571294879411</v>
      </c>
    </row>
    <row r="31" spans="1:17">
      <c r="A31" s="25">
        <v>30</v>
      </c>
      <c r="B31" s="42">
        <f>IF(Introduction!$D$10="女性",HLOOKUP(Introduction!D$11,$B$2:$H$19,ROW()-ROW(B$26)+2,FALSE),HLOOKUP(Introduction!D$11,$K$2:$Q$19,ROW()-ROW(B$26)+2,FALSE))</f>
        <v>-0.55497544474088145</v>
      </c>
      <c r="C31" s="42">
        <f t="shared" si="0"/>
        <v>0.75211995560753997</v>
      </c>
      <c r="D31" s="42">
        <f t="shared" si="1"/>
        <v>0.88902488270950042</v>
      </c>
    </row>
    <row r="32" spans="1:17">
      <c r="A32" s="25">
        <v>35</v>
      </c>
      <c r="B32" s="42">
        <f>IF(Introduction!$D$10="女性",HLOOKUP(Introduction!D$11,$B$2:$H$19,ROW()-ROW(B$26)+2,FALSE),HLOOKUP(Introduction!D$11,$K$2:$Q$19,ROW()-ROW(B$26)+2,FALSE))</f>
        <v>-0.43949301509733479</v>
      </c>
      <c r="C32" s="42">
        <f t="shared" si="0"/>
        <v>0.70661205758212275</v>
      </c>
      <c r="D32" s="42">
        <f t="shared" si="1"/>
        <v>0.83523339186716261</v>
      </c>
    </row>
    <row r="33" spans="1:4">
      <c r="A33" s="25">
        <v>40</v>
      </c>
      <c r="B33" s="42">
        <f>IF(Introduction!$D$10="女性",HLOOKUP(Introduction!D$11,$B$2:$H$19,ROW()-ROW(B$26)+2,FALSE),HLOOKUP(Introduction!D$11,$K$2:$Q$19,ROW()-ROW(B$26)+2,FALSE))</f>
        <v>-0.34752805546091936</v>
      </c>
      <c r="C33" s="42">
        <f t="shared" si="0"/>
        <v>0.66709073836442057</v>
      </c>
      <c r="D33" s="42">
        <f t="shared" si="1"/>
        <v>0.78851818916567196</v>
      </c>
    </row>
    <row r="34" spans="1:4">
      <c r="A34" s="25">
        <v>45</v>
      </c>
      <c r="B34" s="42">
        <f>IF(Introduction!$D$10="女性",HLOOKUP(Introduction!D$11,$B$2:$H$19,ROW()-ROW(B$26)+2,FALSE),HLOOKUP(Introduction!D$11,$K$2:$Q$19,ROW()-ROW(B$26)+2,FALSE))</f>
        <v>-0.2796717464607949</v>
      </c>
      <c r="C34" s="42">
        <f t="shared" si="0"/>
        <v>0.63630062360786621</v>
      </c>
      <c r="D34" s="42">
        <f t="shared" si="1"/>
        <v>0.75212349180925553</v>
      </c>
    </row>
    <row r="35" spans="1:4">
      <c r="A35" s="25">
        <v>50</v>
      </c>
      <c r="B35" s="42">
        <f>IF(Introduction!$D$10="女性",HLOOKUP(Introduction!D$11,$B$2:$H$19,ROW()-ROW(B$26)+2,FALSE),HLOOKUP(Introduction!D$11,$K$2:$Q$19,ROW()-ROW(B$26)+2,FALSE))</f>
        <v>-0.22679742576773457</v>
      </c>
      <c r="C35" s="42">
        <f t="shared" si="0"/>
        <v>0.61149360138230746</v>
      </c>
      <c r="D35" s="42">
        <f t="shared" si="1"/>
        <v>0.72280096172609243</v>
      </c>
    </row>
    <row r="36" spans="1:4">
      <c r="A36" s="25">
        <v>55</v>
      </c>
      <c r="B36" s="42">
        <f>IF(Introduction!$D$10="女性",HLOOKUP(Introduction!D$11,$B$2:$H$19,ROW()-ROW(B$26)+2,FALSE),HLOOKUP(Introduction!D$11,$K$2:$Q$19,ROW()-ROW(B$26)+2,FALSE))</f>
        <v>-0.17320805457698965</v>
      </c>
      <c r="C36" s="42">
        <f t="shared" si="0"/>
        <v>0.58574822578213226</v>
      </c>
      <c r="D36" s="42">
        <f t="shared" si="1"/>
        <v>0.69236927413076821</v>
      </c>
    </row>
    <row r="37" spans="1:4">
      <c r="A37" s="25">
        <v>60</v>
      </c>
      <c r="B37" s="42">
        <f>IF(Introduction!$D$10="女性",HLOOKUP(Introduction!D$11,$B$2:$H$19,ROW()-ROW(B$26)+2,FALSE),HLOOKUP(Introduction!D$11,$K$2:$Q$19,ROW()-ROW(B$26)+2,FALSE))</f>
        <v>-0.11051999808174573</v>
      </c>
      <c r="C37" s="42">
        <f t="shared" si="0"/>
        <v>0.55503609870769621</v>
      </c>
      <c r="D37" s="42">
        <f t="shared" si="1"/>
        <v>0.65606676019460419</v>
      </c>
    </row>
    <row r="38" spans="1:4">
      <c r="A38" s="25">
        <v>65</v>
      </c>
      <c r="B38" s="42">
        <f>IF(Introduction!$D$10="女性",HLOOKUP(Introduction!D$11,$B$2:$H$19,ROW()-ROW(B$26)+2,FALSE),HLOOKUP(Introduction!D$11,$K$2:$Q$19,ROW()-ROW(B$26)+2,FALSE))</f>
        <v>-2.4564773576284834E-2</v>
      </c>
      <c r="C38" s="42">
        <f t="shared" si="0"/>
        <v>0.51227991687186292</v>
      </c>
      <c r="D38" s="42">
        <f t="shared" si="1"/>
        <v>0.60552786775024225</v>
      </c>
    </row>
    <row r="39" spans="1:4">
      <c r="A39" s="25">
        <v>70</v>
      </c>
      <c r="B39" s="42">
        <f>IF(Introduction!$D$10="女性",HLOOKUP(Introduction!D$11,$B$2:$H$19,ROW()-ROW(B$26)+2,FALSE),HLOOKUP(Introduction!D$11,$K$2:$Q$19,ROW()-ROW(B$26)+2,FALSE))</f>
        <v>0.1003150483892048</v>
      </c>
      <c r="C39" s="42">
        <f t="shared" si="0"/>
        <v>0.45001004819462181</v>
      </c>
      <c r="D39" s="42">
        <f t="shared" si="1"/>
        <v>0.53192330203651572</v>
      </c>
    </row>
    <row r="40" spans="1:4">
      <c r="A40" s="25">
        <v>75</v>
      </c>
      <c r="B40" s="42">
        <f>IF(Introduction!$D$10="女性",HLOOKUP(Introduction!D$11,$B$2:$H$19,ROW()-ROW(B$26)+2,FALSE),HLOOKUP(Introduction!D$11,$K$2:$Q$19,ROW()-ROW(B$26)+2,FALSE))</f>
        <v>0.26437837247892709</v>
      </c>
      <c r="C40" s="42">
        <f t="shared" si="0"/>
        <v>0.37080690418251255</v>
      </c>
      <c r="D40" s="42">
        <f t="shared" si="1"/>
        <v>0.43830317496687676</v>
      </c>
    </row>
    <row r="41" spans="1:4">
      <c r="A41" s="25">
        <v>80</v>
      </c>
      <c r="B41" s="42">
        <f>IF(Introduction!$D$10="女性",HLOOKUP(Introduction!D$11,$B$2:$H$19,ROW()-ROW(B$26)+2,FALSE),HLOOKUP(Introduction!D$11,$K$2:$Q$19,ROW()-ROW(B$26)+2,FALSE))</f>
        <v>0.47887517915207028</v>
      </c>
      <c r="C41" s="42">
        <f t="shared" si="0"/>
        <v>0.27732883662925017</v>
      </c>
      <c r="D41" s="42">
        <f t="shared" si="1"/>
        <v>0.32780972585300416</v>
      </c>
    </row>
    <row r="42" spans="1:4">
      <c r="A42" s="29">
        <v>85</v>
      </c>
      <c r="B42" s="43">
        <f>IF(Introduction!$D$10="女性",HLOOKUP(Introduction!D$11,$B$2:$H$19,ROW()-ROW(B$26)+2,FALSE),HLOOKUP(Introduction!D$11,$K$2:$Q$19,ROW()-ROW(B$26)+2,FALSE))</f>
        <v>0.76832737327098732</v>
      </c>
      <c r="C42" s="43">
        <f>1/(1+EXP(2*B42))</f>
        <v>0.17702210251466602</v>
      </c>
      <c r="D42" s="43">
        <f>C42/C$26</f>
        <v>0.20924461949419443</v>
      </c>
    </row>
  </sheetData>
  <phoneticPr fontId="36" type="noConversion"/>
  <dataValidations count="1">
    <dataValidation type="decimal" allowBlank="1" showInputMessage="1" showErrorMessage="1" error="Enter valid numeric values for the logits" sqref="H3:H19 Q3:Q19">
      <formula1>-2</formula1>
      <formula2>2</formula2>
    </dataValidation>
  </dataValidations>
  <pageMargins left="0.70866141732283472" right="0.70866141732283472" top="0.74803149606299213" bottom="0.74803149606299213" header="0.31496062992125984" footer="0.31496062992125984"/>
  <pageSetup paperSize="9" orientation="portrait" r:id="rId1"/>
  <headerFooter>
    <oddHeader xml:space="preserve">&amp;L&amp;"Cambria,Bold"&amp;14Tools for Demographic Estimation&amp;R&amp;"Cambria,Bold"&amp;14Orphanhood </oddHeader>
    <oddFooter>&amp;L&amp;"+,Regular"&amp;F&amp;R&amp;"+,Regular"&amp;D  &amp;T</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45"/>
  <sheetViews>
    <sheetView topLeftCell="J1" zoomScaleNormal="100" workbookViewId="0">
      <selection activeCell="I33" sqref="I33"/>
    </sheetView>
  </sheetViews>
  <sheetFormatPr defaultColWidth="9.109375" defaultRowHeight="13.2"/>
  <cols>
    <col min="1" max="1" width="9.33203125" style="1" bestFit="1" customWidth="1"/>
    <col min="2" max="2" width="6" style="1" customWidth="1"/>
    <col min="3" max="3" width="11.109375" style="1" customWidth="1"/>
    <col min="4" max="4" width="11" style="1" customWidth="1"/>
    <col min="5" max="5" width="11.5546875" style="1" customWidth="1"/>
    <col min="6" max="6" width="9.44140625" style="1" bestFit="1" customWidth="1"/>
    <col min="7" max="7" width="11.33203125" style="1" customWidth="1"/>
    <col min="8" max="8" width="11.44140625" style="1" customWidth="1"/>
    <col min="9" max="9" width="11.33203125" style="1" customWidth="1"/>
    <col min="10" max="10" width="9.44140625" style="1" customWidth="1"/>
    <col min="11" max="11" width="12.109375" style="1" customWidth="1"/>
    <col min="12" max="12" width="11.44140625" style="1" customWidth="1"/>
    <col min="13" max="15" width="9.88671875" style="1" bestFit="1" customWidth="1"/>
    <col min="16" max="16" width="10.44140625" style="1" customWidth="1"/>
    <col min="17" max="17" width="9.33203125" style="1" bestFit="1" customWidth="1"/>
    <col min="18" max="18" width="10.109375" style="1" customWidth="1"/>
    <col min="19" max="19" width="11.33203125" style="1" customWidth="1"/>
    <col min="20" max="20" width="11" style="1" customWidth="1"/>
    <col min="21" max="21" width="11.5546875" style="1" customWidth="1"/>
    <col min="22" max="22" width="11" style="1" customWidth="1"/>
    <col min="23" max="25" width="9.109375" style="1"/>
    <col min="26" max="28" width="9.33203125" style="1" bestFit="1" customWidth="1"/>
    <col min="29" max="16384" width="9.109375" style="1"/>
  </cols>
  <sheetData>
    <row r="1" spans="1:18">
      <c r="A1" s="1" t="s">
        <v>73</v>
      </c>
      <c r="C1" s="46" t="str">
        <f>Introduction!D9</f>
        <v>南非</v>
      </c>
      <c r="K1" s="57" t="s">
        <v>76</v>
      </c>
    </row>
    <row r="2" spans="1:18">
      <c r="B2" s="46"/>
      <c r="C2" s="47"/>
      <c r="E2" s="1" t="s">
        <v>74</v>
      </c>
      <c r="F2" s="46"/>
      <c r="G2" s="47">
        <f>YEAR(Introduction!D12)+YEARFRAC(DATE(YEAR(Introduction!D12),1,1),Introduction!D12,1)+YEARFRAC(Introduction!D12,Introduction!D13+1,1)/2</f>
        <v>2004.4496371685209</v>
      </c>
      <c r="H2" s="49"/>
      <c r="K2" s="57" t="s">
        <v>77</v>
      </c>
      <c r="L2" s="65">
        <v>5</v>
      </c>
    </row>
    <row r="3" spans="1:18">
      <c r="A3" s="1" t="s">
        <v>52</v>
      </c>
      <c r="C3" s="1" t="str">
        <f>Introduction!D10</f>
        <v>女性</v>
      </c>
      <c r="E3" s="1" t="s">
        <v>75</v>
      </c>
      <c r="G3" s="47">
        <f>YEARFRAC(Introduction!D12,Introduction!D13+1,1)</f>
        <v>5.3540688575899837</v>
      </c>
      <c r="K3" s="57" t="s">
        <v>78</v>
      </c>
      <c r="L3" s="66">
        <v>84</v>
      </c>
      <c r="M3" s="50" t="s">
        <v>79</v>
      </c>
      <c r="N3" s="51"/>
      <c r="O3" s="50">
        <f>MAX(B21:B24)+5</f>
        <v>85</v>
      </c>
    </row>
    <row r="5" spans="1:18">
      <c r="C5" s="48"/>
      <c r="D5" s="48"/>
      <c r="F5" s="53"/>
    </row>
    <row r="6" spans="1:18" ht="30" customHeight="1">
      <c r="A6" s="54" t="s">
        <v>62</v>
      </c>
      <c r="B6" s="54" t="s">
        <v>0</v>
      </c>
      <c r="C6" s="55" t="s">
        <v>35</v>
      </c>
      <c r="D6" s="55" t="s">
        <v>36</v>
      </c>
      <c r="E6" s="55" t="s">
        <v>37</v>
      </c>
      <c r="F6" s="55" t="s">
        <v>38</v>
      </c>
      <c r="G6" s="64" t="s">
        <v>3</v>
      </c>
      <c r="H6" s="64" t="s">
        <v>4</v>
      </c>
      <c r="I6" s="64" t="s">
        <v>5</v>
      </c>
      <c r="J6" s="64" t="s">
        <v>30</v>
      </c>
      <c r="K6" s="64" t="s">
        <v>6</v>
      </c>
      <c r="L6" s="64" t="s">
        <v>7</v>
      </c>
      <c r="M6" s="64" t="s">
        <v>44</v>
      </c>
      <c r="N6" s="64" t="s">
        <v>31</v>
      </c>
      <c r="O6" s="64" t="s">
        <v>43</v>
      </c>
      <c r="P6" s="70" t="s">
        <v>45</v>
      </c>
      <c r="Q6" s="64" t="s">
        <v>8</v>
      </c>
      <c r="R6" s="109" t="s">
        <v>80</v>
      </c>
    </row>
    <row r="7" spans="1:18">
      <c r="A7" s="56">
        <f>COLUMN()</f>
        <v>1</v>
      </c>
      <c r="B7" s="56">
        <f>COLUMN()</f>
        <v>2</v>
      </c>
      <c r="C7" s="56">
        <f>COLUMN()</f>
        <v>3</v>
      </c>
      <c r="D7" s="56">
        <f>COLUMN()</f>
        <v>4</v>
      </c>
      <c r="E7" s="56">
        <f>COLUMN()</f>
        <v>5</v>
      </c>
      <c r="F7" s="56">
        <f>COLUMN()</f>
        <v>6</v>
      </c>
      <c r="G7" s="56">
        <f>COLUMN()</f>
        <v>7</v>
      </c>
      <c r="H7" s="56">
        <f>COLUMN()</f>
        <v>8</v>
      </c>
      <c r="I7" s="56">
        <f>COLUMN()</f>
        <v>9</v>
      </c>
      <c r="J7" s="56">
        <f>COLUMN()</f>
        <v>10</v>
      </c>
      <c r="K7" s="56">
        <f>COLUMN()</f>
        <v>11</v>
      </c>
      <c r="L7" s="56">
        <f>COLUMN()</f>
        <v>12</v>
      </c>
      <c r="M7" s="56">
        <f>COLUMN()</f>
        <v>13</v>
      </c>
      <c r="N7" s="56">
        <f>COLUMN()</f>
        <v>14</v>
      </c>
      <c r="O7" s="56">
        <f>COLUMN()</f>
        <v>15</v>
      </c>
      <c r="P7" s="56">
        <f>COLUMN()</f>
        <v>16</v>
      </c>
      <c r="Q7" s="56">
        <f>COLUMN()</f>
        <v>17</v>
      </c>
      <c r="R7" s="56">
        <f>COLUMN()</f>
        <v>18</v>
      </c>
    </row>
    <row r="8" spans="1:18">
      <c r="A8" s="57" t="s">
        <v>11</v>
      </c>
      <c r="B8" s="1">
        <v>0</v>
      </c>
      <c r="C8" s="67">
        <v>2225307</v>
      </c>
      <c r="D8" s="67">
        <v>2487351.4</v>
      </c>
      <c r="E8" s="67">
        <v>209208.86579609307</v>
      </c>
      <c r="F8" s="67">
        <v>10642.906445235865</v>
      </c>
      <c r="G8" s="59">
        <f t="shared" ref="G8:H20" si="0">G9+C8</f>
        <v>23385731</v>
      </c>
      <c r="H8" s="59">
        <f t="shared" si="0"/>
        <v>25003493.479899619</v>
      </c>
      <c r="I8" s="59">
        <f t="shared" ref="I8:I19" si="1">I9+E8</f>
        <v>1577434.4253303674</v>
      </c>
      <c r="J8" s="59">
        <f t="shared" ref="J8:J19" si="2">J9+F8</f>
        <v>67410.772578966789</v>
      </c>
      <c r="K8" s="59">
        <f>G$3*(G8*H8)^0.5</f>
        <v>129467205.30101939</v>
      </c>
      <c r="L8" s="59"/>
      <c r="M8" s="52"/>
      <c r="N8" s="45" t="e">
        <f>IF(L8="", NA(),(H8-G8-J8)/K8)</f>
        <v>#N/A</v>
      </c>
      <c r="O8" s="45">
        <v>0</v>
      </c>
      <c r="Q8" s="63">
        <f t="shared" ref="Q8:Q24" ca="1" si="3">Q$27+Q$32*O8</f>
        <v>-5.8515026006751986E-3</v>
      </c>
      <c r="R8" s="63"/>
    </row>
    <row r="9" spans="1:18">
      <c r="A9" s="57" t="s">
        <v>12</v>
      </c>
      <c r="B9" s="1">
        <v>5</v>
      </c>
      <c r="C9" s="67">
        <v>2427103</v>
      </c>
      <c r="D9" s="67">
        <v>2550916</v>
      </c>
      <c r="E9" s="67">
        <v>22995.116471222565</v>
      </c>
      <c r="F9" s="67">
        <v>3810.4340464765278</v>
      </c>
      <c r="G9" s="59">
        <f t="shared" si="0"/>
        <v>21160424</v>
      </c>
      <c r="H9" s="59">
        <f t="shared" si="0"/>
        <v>22516142.07989962</v>
      </c>
      <c r="I9" s="59">
        <f t="shared" si="1"/>
        <v>1368225.5595342743</v>
      </c>
      <c r="J9" s="59">
        <f t="shared" si="2"/>
        <v>56767.866133730924</v>
      </c>
      <c r="K9" s="59">
        <f t="shared" ref="K9:K25" si="4">G$3*(G9*H9)^0.5</f>
        <v>116867330.8609727</v>
      </c>
      <c r="L9" s="59">
        <f>G$3*(C8*D9)^0.5/5</f>
        <v>2551273.3578020954</v>
      </c>
      <c r="M9" s="45">
        <f>IF(L9="",NA(),L9/K9)</f>
        <v>2.1830509339150837E-2</v>
      </c>
      <c r="N9" s="45">
        <f>IF(L9="", NA(),(H9-G9-J9)/K9)</f>
        <v>1.1114741854685993E-2</v>
      </c>
      <c r="O9" s="45">
        <f t="shared" ref="O9:O23" si="5">IF(L9="",NA(),I9/K9)</f>
        <v>1.1707510982362879E-2</v>
      </c>
      <c r="P9" s="45">
        <f t="shared" ref="P9:P14" si="6">IF(L$2&lt;B10,M9-N9,NA())</f>
        <v>1.0715767484464844E-2</v>
      </c>
      <c r="Q9" s="63">
        <f t="shared" ca="1" si="3"/>
        <v>1.0226233055636757E-2</v>
      </c>
      <c r="R9" s="63">
        <f t="shared" ref="R9:R15" ca="1" si="7">IF(L$2&lt;B10,P9-Q9,NA())</f>
        <v>4.8953442882808743E-4</v>
      </c>
    </row>
    <row r="10" spans="1:18">
      <c r="A10" s="57" t="s">
        <v>13</v>
      </c>
      <c r="B10" s="1">
        <v>10</v>
      </c>
      <c r="C10" s="67">
        <v>2542977</v>
      </c>
      <c r="D10" s="67">
        <v>2488108.7000000002</v>
      </c>
      <c r="E10" s="67">
        <v>15173.263383784037</v>
      </c>
      <c r="F10" s="67">
        <v>3835.3498548006219</v>
      </c>
      <c r="G10" s="59">
        <f t="shared" si="0"/>
        <v>18733321</v>
      </c>
      <c r="H10" s="59">
        <f t="shared" si="0"/>
        <v>19965226.07989962</v>
      </c>
      <c r="I10" s="59">
        <f t="shared" si="1"/>
        <v>1345230.4430630517</v>
      </c>
      <c r="J10" s="59">
        <f t="shared" si="2"/>
        <v>52957.432087254398</v>
      </c>
      <c r="K10" s="59">
        <f t="shared" si="4"/>
        <v>103544838.69972628</v>
      </c>
      <c r="L10" s="59">
        <f t="shared" ref="L10:L20" si="8">G$3*(C9*D10)^0.5/5</f>
        <v>2631435.4818918388</v>
      </c>
      <c r="M10" s="45">
        <f t="shared" ref="M10:M20" si="9">IF(L10="",NA(),L10/K10)</f>
        <v>2.5413487672937916E-2</v>
      </c>
      <c r="N10" s="45">
        <f t="shared" ref="N10:N24" si="10">IF(L10="", NA(),(H10-G10-J10)/K10)</f>
        <v>1.1385865897490478E-2</v>
      </c>
      <c r="O10" s="45">
        <f t="shared" si="5"/>
        <v>1.2991767237806396E-2</v>
      </c>
      <c r="P10" s="45">
        <f t="shared" si="6"/>
        <v>1.4027621775447438E-2</v>
      </c>
      <c r="Q10" s="63">
        <f t="shared" ca="1" si="3"/>
        <v>1.1989881419588035E-2</v>
      </c>
      <c r="R10" s="63">
        <f t="shared" ca="1" si="7"/>
        <v>2.0377403558594024E-3</v>
      </c>
    </row>
    <row r="11" spans="1:18">
      <c r="A11" s="57" t="s">
        <v>14</v>
      </c>
      <c r="B11" s="1">
        <v>15</v>
      </c>
      <c r="C11" s="67">
        <v>2528703</v>
      </c>
      <c r="D11" s="67">
        <v>2534285</v>
      </c>
      <c r="E11" s="67">
        <v>35666.279191086651</v>
      </c>
      <c r="F11" s="67">
        <v>9875.0936904858791</v>
      </c>
      <c r="G11" s="59">
        <f t="shared" si="0"/>
        <v>16190344</v>
      </c>
      <c r="H11" s="59">
        <f t="shared" si="0"/>
        <v>17477117.379899621</v>
      </c>
      <c r="I11" s="59">
        <f t="shared" si="1"/>
        <v>1330057.1796792676</v>
      </c>
      <c r="J11" s="59">
        <f t="shared" si="2"/>
        <v>49122.082232453773</v>
      </c>
      <c r="K11" s="59">
        <f t="shared" si="4"/>
        <v>90063100.115202248</v>
      </c>
      <c r="L11" s="59">
        <f>G$3*(C10*D11)^0.5/5</f>
        <v>2718397.0521087972</v>
      </c>
      <c r="M11" s="45">
        <f t="shared" si="9"/>
        <v>3.0183249839630426E-2</v>
      </c>
      <c r="N11" s="45">
        <f t="shared" si="10"/>
        <v>1.3742046366203834E-2</v>
      </c>
      <c r="O11" s="45">
        <f t="shared" si="5"/>
        <v>1.4768059038362593E-2</v>
      </c>
      <c r="P11" s="45">
        <f t="shared" si="6"/>
        <v>1.6441203473426591E-2</v>
      </c>
      <c r="Q11" s="63">
        <f t="shared" ca="1" si="3"/>
        <v>1.4429234247088269E-2</v>
      </c>
      <c r="R11" s="63">
        <f t="shared" ca="1" si="7"/>
        <v>2.011969226338322E-3</v>
      </c>
    </row>
    <row r="12" spans="1:18">
      <c r="A12" s="57" t="s">
        <v>15</v>
      </c>
      <c r="B12" s="1">
        <v>20</v>
      </c>
      <c r="C12" s="67">
        <v>2195331</v>
      </c>
      <c r="D12" s="67">
        <v>2422487.4</v>
      </c>
      <c r="E12" s="67">
        <v>95993.382315813404</v>
      </c>
      <c r="F12" s="67">
        <v>9366.0098454308609</v>
      </c>
      <c r="G12" s="59">
        <f t="shared" si="0"/>
        <v>13661641</v>
      </c>
      <c r="H12" s="59">
        <f t="shared" si="0"/>
        <v>14942832.379899621</v>
      </c>
      <c r="I12" s="59">
        <f t="shared" si="1"/>
        <v>1294390.9004881808</v>
      </c>
      <c r="J12" s="59">
        <f t="shared" si="2"/>
        <v>39246.98854196789</v>
      </c>
      <c r="K12" s="59">
        <f>G$3*(G12*H12)^0.5</f>
        <v>76498311.448898971</v>
      </c>
      <c r="L12" s="59">
        <f t="shared" si="8"/>
        <v>2650291.3751570741</v>
      </c>
      <c r="M12" s="45">
        <f>IF(L12="",NA(),L12/K12)</f>
        <v>3.4645096407487037E-2</v>
      </c>
      <c r="N12" s="45">
        <f t="shared" si="10"/>
        <v>1.6234925553713357E-2</v>
      </c>
      <c r="O12" s="45">
        <f t="shared" si="5"/>
        <v>1.6920515969203277E-2</v>
      </c>
      <c r="P12" s="45">
        <f t="shared" si="6"/>
        <v>1.841017085377368E-2</v>
      </c>
      <c r="Q12" s="63">
        <f t="shared" ca="1" si="3"/>
        <v>1.7385168569745514E-2</v>
      </c>
      <c r="R12" s="63">
        <f t="shared" ca="1" si="7"/>
        <v>1.0250022840281661E-3</v>
      </c>
    </row>
    <row r="13" spans="1:18">
      <c r="A13" s="57" t="s">
        <v>16</v>
      </c>
      <c r="B13" s="1">
        <v>25</v>
      </c>
      <c r="C13" s="67">
        <v>2035931</v>
      </c>
      <c r="D13" s="67">
        <v>2021156.4</v>
      </c>
      <c r="E13" s="67">
        <v>152717.89300178536</v>
      </c>
      <c r="F13" s="67">
        <v>-2709.8489435751544</v>
      </c>
      <c r="G13" s="59">
        <f t="shared" si="0"/>
        <v>11466310</v>
      </c>
      <c r="H13" s="59">
        <f t="shared" si="0"/>
        <v>12520344.979899621</v>
      </c>
      <c r="I13" s="59">
        <f t="shared" si="1"/>
        <v>1198397.5181723675</v>
      </c>
      <c r="J13" s="59">
        <f t="shared" si="2"/>
        <v>29880.978696537026</v>
      </c>
      <c r="K13" s="59">
        <f t="shared" si="4"/>
        <v>64151075.1631753</v>
      </c>
      <c r="L13" s="59">
        <f t="shared" si="8"/>
        <v>2255609.4921134929</v>
      </c>
      <c r="M13" s="45">
        <f t="shared" si="9"/>
        <v>3.5160899273723824E-2</v>
      </c>
      <c r="N13" s="45">
        <f t="shared" si="10"/>
        <v>1.5964720756402533E-2</v>
      </c>
      <c r="O13" s="45">
        <f t="shared" si="5"/>
        <v>1.8680864118397266E-2</v>
      </c>
      <c r="P13" s="45">
        <f t="shared" si="6"/>
        <v>1.9196178517321291E-2</v>
      </c>
      <c r="Q13" s="63">
        <f t="shared" ca="1" si="3"/>
        <v>1.980262623845545E-2</v>
      </c>
      <c r="R13" s="63">
        <f t="shared" ca="1" si="7"/>
        <v>-6.0644772113415887E-4</v>
      </c>
    </row>
    <row r="14" spans="1:18">
      <c r="A14" s="57" t="s">
        <v>17</v>
      </c>
      <c r="B14" s="1">
        <v>30</v>
      </c>
      <c r="C14" s="67">
        <v>1746535</v>
      </c>
      <c r="D14" s="67">
        <v>1850429.3</v>
      </c>
      <c r="E14" s="67">
        <v>166487.53669918844</v>
      </c>
      <c r="F14" s="67">
        <v>5823.3243243759562</v>
      </c>
      <c r="G14" s="59">
        <f t="shared" si="0"/>
        <v>9430379</v>
      </c>
      <c r="H14" s="59">
        <f t="shared" si="0"/>
        <v>10499188.57989962</v>
      </c>
      <c r="I14" s="59">
        <f t="shared" si="1"/>
        <v>1045679.6251705822</v>
      </c>
      <c r="J14" s="59">
        <f t="shared" si="2"/>
        <v>32590.82764011218</v>
      </c>
      <c r="K14" s="59">
        <f t="shared" si="4"/>
        <v>53275360.107608035</v>
      </c>
      <c r="L14" s="59">
        <f t="shared" si="8"/>
        <v>2078412.3951735925</v>
      </c>
      <c r="M14" s="45">
        <f t="shared" si="9"/>
        <v>3.9012639069459482E-2</v>
      </c>
      <c r="N14" s="45">
        <f t="shared" si="10"/>
        <v>1.9450243980829143E-2</v>
      </c>
      <c r="O14" s="45">
        <f t="shared" si="5"/>
        <v>1.962782838179733E-2</v>
      </c>
      <c r="P14" s="45">
        <f t="shared" si="6"/>
        <v>1.9562395088630339E-2</v>
      </c>
      <c r="Q14" s="63">
        <f t="shared" ca="1" si="3"/>
        <v>2.110307695986469E-2</v>
      </c>
      <c r="R14" s="63">
        <f t="shared" ca="1" si="7"/>
        <v>-1.5406818712343506E-3</v>
      </c>
    </row>
    <row r="15" spans="1:18">
      <c r="A15" s="57" t="s">
        <v>18</v>
      </c>
      <c r="B15" s="1">
        <v>35</v>
      </c>
      <c r="C15" s="67">
        <v>1630368</v>
      </c>
      <c r="D15" s="67">
        <v>1664349.2</v>
      </c>
      <c r="E15" s="67">
        <v>137837.4745827165</v>
      </c>
      <c r="F15" s="67">
        <v>3023.4822918235664</v>
      </c>
      <c r="G15" s="59">
        <f t="shared" si="0"/>
        <v>7683844</v>
      </c>
      <c r="H15" s="59">
        <f t="shared" si="0"/>
        <v>8648759.2798996195</v>
      </c>
      <c r="I15" s="59">
        <f t="shared" si="1"/>
        <v>879192.0884713938</v>
      </c>
      <c r="J15" s="59">
        <f t="shared" si="2"/>
        <v>26767.503315736223</v>
      </c>
      <c r="K15" s="59">
        <f t="shared" si="4"/>
        <v>43646570.662553012</v>
      </c>
      <c r="L15" s="59">
        <f t="shared" si="8"/>
        <v>1825680.6824686925</v>
      </c>
      <c r="M15" s="45">
        <f t="shared" si="9"/>
        <v>4.1828731438803564E-2</v>
      </c>
      <c r="N15" s="45">
        <f t="shared" si="10"/>
        <v>2.149419215170497E-2</v>
      </c>
      <c r="O15" s="45">
        <f t="shared" si="5"/>
        <v>2.0143440254876771E-2</v>
      </c>
      <c r="P15" s="45">
        <f t="shared" ref="P15:P19" si="11">IF(E15&gt;0,M15-N15,NA())</f>
        <v>2.0334539287098594E-2</v>
      </c>
      <c r="Q15" s="63">
        <f t="shared" ca="1" si="3"/>
        <v>2.1811158413652401E-2</v>
      </c>
      <c r="R15" s="63">
        <f t="shared" ca="1" si="7"/>
        <v>-1.4766191265538076E-3</v>
      </c>
    </row>
    <row r="16" spans="1:18">
      <c r="A16" s="57" t="s">
        <v>19</v>
      </c>
      <c r="B16" s="1">
        <v>40</v>
      </c>
      <c r="C16" s="67">
        <v>1385983</v>
      </c>
      <c r="D16" s="67">
        <v>1520926.4</v>
      </c>
      <c r="E16" s="67">
        <v>111909.59377900088</v>
      </c>
      <c r="F16" s="67">
        <v>-407.13102646822244</v>
      </c>
      <c r="G16" s="59">
        <f t="shared" si="0"/>
        <v>6053476</v>
      </c>
      <c r="H16" s="59">
        <f t="shared" si="0"/>
        <v>6984410.0798996203</v>
      </c>
      <c r="I16" s="59">
        <f t="shared" si="1"/>
        <v>741354.61388867733</v>
      </c>
      <c r="J16" s="59">
        <f t="shared" si="2"/>
        <v>23744.021023912657</v>
      </c>
      <c r="K16" s="59">
        <f t="shared" si="4"/>
        <v>34813783.960124388</v>
      </c>
      <c r="L16" s="59">
        <f t="shared" si="8"/>
        <v>1686206.9245384373</v>
      </c>
      <c r="M16" s="45">
        <f t="shared" si="9"/>
        <v>4.8435037296428736E-2</v>
      </c>
      <c r="N16" s="45">
        <f t="shared" si="10"/>
        <v>2.6058358376521224E-2</v>
      </c>
      <c r="O16" s="45">
        <f t="shared" si="5"/>
        <v>2.129485880471433E-2</v>
      </c>
      <c r="P16" s="45">
        <f t="shared" si="11"/>
        <v>2.2376678919907512E-2</v>
      </c>
      <c r="Q16" s="63">
        <f t="shared" ca="1" si="3"/>
        <v>2.3392382902952525E-2</v>
      </c>
      <c r="R16" s="63">
        <f ca="1">P16-Q16</f>
        <v>-1.0157039830450132E-3</v>
      </c>
    </row>
    <row r="17" spans="1:19">
      <c r="A17" s="57" t="s">
        <v>20</v>
      </c>
      <c r="B17" s="1">
        <v>45</v>
      </c>
      <c r="C17" s="67">
        <v>1119920</v>
      </c>
      <c r="D17" s="67">
        <v>1294503.5</v>
      </c>
      <c r="E17" s="67">
        <v>85283.831320116951</v>
      </c>
      <c r="F17" s="67">
        <v>1671.1991916635457</v>
      </c>
      <c r="G17" s="59">
        <f t="shared" si="0"/>
        <v>4667493</v>
      </c>
      <c r="H17" s="59">
        <f t="shared" si="0"/>
        <v>5463483.6798996199</v>
      </c>
      <c r="I17" s="59">
        <f t="shared" si="1"/>
        <v>629445.02010967641</v>
      </c>
      <c r="J17" s="59">
        <f t="shared" si="2"/>
        <v>24151.152050380879</v>
      </c>
      <c r="K17" s="59">
        <f t="shared" si="4"/>
        <v>27037131.603140391</v>
      </c>
      <c r="L17" s="59">
        <f t="shared" si="8"/>
        <v>1434314.9136299477</v>
      </c>
      <c r="M17" s="45">
        <f t="shared" si="9"/>
        <v>5.3049818105088874E-2</v>
      </c>
      <c r="N17" s="45">
        <f t="shared" si="10"/>
        <v>2.8547389537416354E-2</v>
      </c>
      <c r="O17" s="45">
        <f t="shared" si="5"/>
        <v>2.3280761781570264E-2</v>
      </c>
      <c r="P17" s="45">
        <f t="shared" si="11"/>
        <v>2.450242856767252E-2</v>
      </c>
      <c r="Q17" s="63">
        <f t="shared" ca="1" si="3"/>
        <v>2.6119591371863878E-2</v>
      </c>
      <c r="R17" s="63">
        <f ca="1">P17-Q17</f>
        <v>-1.6171628041913577E-3</v>
      </c>
    </row>
    <row r="18" spans="1:19">
      <c r="A18" s="57" t="s">
        <v>21</v>
      </c>
      <c r="B18" s="1">
        <v>50</v>
      </c>
      <c r="C18" s="67">
        <v>868636</v>
      </c>
      <c r="D18" s="67">
        <v>1074540.7</v>
      </c>
      <c r="E18" s="67">
        <v>76940.660348363497</v>
      </c>
      <c r="F18" s="67">
        <v>3117.7360718706113</v>
      </c>
      <c r="G18" s="59">
        <f t="shared" si="0"/>
        <v>3547573</v>
      </c>
      <c r="H18" s="59">
        <f t="shared" si="0"/>
        <v>4168980.1798996199</v>
      </c>
      <c r="I18" s="59">
        <f t="shared" si="1"/>
        <v>544161.18878955941</v>
      </c>
      <c r="J18" s="59">
        <f t="shared" si="2"/>
        <v>22479.952858717334</v>
      </c>
      <c r="K18" s="59">
        <f t="shared" si="4"/>
        <v>20590388.35487463</v>
      </c>
      <c r="L18" s="59">
        <f t="shared" si="8"/>
        <v>1174678.1296633277</v>
      </c>
      <c r="M18" s="45">
        <f t="shared" si="9"/>
        <v>5.7049828755912267E-2</v>
      </c>
      <c r="N18" s="45">
        <f t="shared" si="10"/>
        <v>2.9087709115457785E-2</v>
      </c>
      <c r="O18" s="45">
        <f t="shared" si="5"/>
        <v>2.6427922553521586E-2</v>
      </c>
      <c r="P18" s="45">
        <f t="shared" si="11"/>
        <v>2.7962119640454482E-2</v>
      </c>
      <c r="Q18" s="63">
        <f t="shared" ca="1" si="3"/>
        <v>3.0441536406600529E-2</v>
      </c>
      <c r="R18" s="63">
        <f ca="1">P18-Q18</f>
        <v>-2.4794167661460476E-3</v>
      </c>
    </row>
    <row r="19" spans="1:19">
      <c r="A19" s="57" t="s">
        <v>22</v>
      </c>
      <c r="B19" s="1">
        <v>55</v>
      </c>
      <c r="C19" s="67">
        <v>653030</v>
      </c>
      <c r="D19" s="67">
        <v>849485.89391343389</v>
      </c>
      <c r="E19" s="67">
        <v>57352.505794749988</v>
      </c>
      <c r="F19" s="67">
        <v>4658.6100263039698</v>
      </c>
      <c r="G19" s="59">
        <f t="shared" si="0"/>
        <v>2678937</v>
      </c>
      <c r="H19" s="59">
        <f t="shared" si="0"/>
        <v>3094439.4798996197</v>
      </c>
      <c r="I19" s="59">
        <f t="shared" si="1"/>
        <v>467220.5284411959</v>
      </c>
      <c r="J19" s="59">
        <f t="shared" si="2"/>
        <v>19362.216786846722</v>
      </c>
      <c r="K19" s="59">
        <f t="shared" si="4"/>
        <v>15415449.723936496</v>
      </c>
      <c r="L19" s="59">
        <f t="shared" si="8"/>
        <v>919837.15052124986</v>
      </c>
      <c r="M19" s="45">
        <f t="shared" si="9"/>
        <v>5.9669822612632789E-2</v>
      </c>
      <c r="N19" s="45">
        <f t="shared" si="10"/>
        <v>2.5697613122351023E-2</v>
      </c>
      <c r="O19" s="45">
        <f t="shared" si="5"/>
        <v>3.0308588903229627E-2</v>
      </c>
      <c r="P19" s="45">
        <f t="shared" si="11"/>
        <v>3.3972209490281763E-2</v>
      </c>
      <c r="Q19" s="63">
        <f t="shared" ca="1" si="3"/>
        <v>3.5770792798923687E-2</v>
      </c>
      <c r="R19" s="63">
        <f ca="1">P19-Q19</f>
        <v>-1.798583308641924E-3</v>
      </c>
    </row>
    <row r="20" spans="1:19">
      <c r="A20" s="57" t="s">
        <v>23</v>
      </c>
      <c r="B20" s="1">
        <v>60</v>
      </c>
      <c r="C20" s="67">
        <v>620861</v>
      </c>
      <c r="D20" s="67">
        <v>647158.57880766876</v>
      </c>
      <c r="E20" s="67">
        <v>69219.721787964678</v>
      </c>
      <c r="F20" s="67">
        <v>3093.8455808881095</v>
      </c>
      <c r="G20" s="59">
        <f t="shared" si="0"/>
        <v>2025907</v>
      </c>
      <c r="H20" s="59">
        <f t="shared" si="0"/>
        <v>2244953.5859861858</v>
      </c>
      <c r="I20" s="59">
        <f>I21+E20</f>
        <v>409868.0226464459</v>
      </c>
      <c r="J20" s="59">
        <f>J21+F20</f>
        <v>14703.606760542751</v>
      </c>
      <c r="K20" s="59">
        <f t="shared" si="4"/>
        <v>11418193.22258373</v>
      </c>
      <c r="L20" s="59">
        <f t="shared" si="8"/>
        <v>696122.81987391179</v>
      </c>
      <c r="M20" s="45">
        <f t="shared" si="9"/>
        <v>6.0966109637825158E-2</v>
      </c>
      <c r="N20" s="45">
        <f t="shared" si="10"/>
        <v>1.789626215305927E-2</v>
      </c>
      <c r="O20" s="45">
        <f t="shared" si="5"/>
        <v>3.5896048933186667E-2</v>
      </c>
      <c r="P20" s="45">
        <f>IF(L$3&gt;59,M20-N20,NA())</f>
        <v>4.3069847484765889E-2</v>
      </c>
      <c r="Q20" s="63">
        <f t="shared" ca="1" si="3"/>
        <v>4.3443961373114286E-2</v>
      </c>
      <c r="R20" s="63">
        <f ca="1">IF(L$3&gt;60,P20-Q20,NA())</f>
        <v>-3.7411388834839715E-4</v>
      </c>
    </row>
    <row r="21" spans="1:19">
      <c r="A21" s="60" t="str">
        <f>IF(E21="","", IF(E22="","65+", "   65-69"))</f>
        <v xml:space="preserve">   65-69</v>
      </c>
      <c r="B21" s="1">
        <f>IF(E22="","",65)</f>
        <v>65</v>
      </c>
      <c r="C21" s="67">
        <v>483263</v>
      </c>
      <c r="D21" s="67">
        <v>553050.20290078165</v>
      </c>
      <c r="E21" s="67">
        <v>67007.056889691448</v>
      </c>
      <c r="F21" s="67">
        <v>4356.809071938259</v>
      </c>
      <c r="G21" s="59">
        <f t="shared" ref="G21:G23" si="12">IF(E21="",,G22+C21)</f>
        <v>1405046</v>
      </c>
      <c r="H21" s="59">
        <f>IF(E21="",,H22+D21)</f>
        <v>1597795.0071785171</v>
      </c>
      <c r="I21" s="59">
        <f>IF(E21="",,I22+E21)</f>
        <v>340648.30085848121</v>
      </c>
      <c r="J21" s="59">
        <f t="shared" ref="J21:J24" si="13">IF(325="",,J22+F21)</f>
        <v>11609.761179654641</v>
      </c>
      <c r="K21" s="59">
        <f t="shared" si="4"/>
        <v>8022131.0724210981</v>
      </c>
      <c r="L21" s="59">
        <f>IF(E22="","",G$3*(C20*D21)^0.5/5)</f>
        <v>627470.64926410513</v>
      </c>
      <c r="M21" s="45">
        <f>IF(L21="",NA(),L21/K21)</f>
        <v>7.8217451647138572E-2</v>
      </c>
      <c r="N21" s="45">
        <f t="shared" si="10"/>
        <v>2.2579940961273047E-2</v>
      </c>
      <c r="O21" s="45">
        <f t="shared" si="5"/>
        <v>4.2463567072542577E-2</v>
      </c>
      <c r="P21" s="45">
        <f>IF(L$3&gt;B21-1,M21-N21,NA())</f>
        <v>5.5637510685865525E-2</v>
      </c>
      <c r="Q21" s="63">
        <f t="shared" ca="1" si="3"/>
        <v>5.2463027912677512E-2</v>
      </c>
      <c r="R21" s="63">
        <f ca="1">IF(L$3&gt;65,P21-Q21,NA())</f>
        <v>3.1744827731880129E-3</v>
      </c>
    </row>
    <row r="22" spans="1:19">
      <c r="A22" s="60" t="str">
        <f>IF(E22="","", IF(E23="","70+", "   70-74"))</f>
        <v xml:space="preserve">   70-74</v>
      </c>
      <c r="B22" s="1">
        <f>IF(E23="","",70)</f>
        <v>70</v>
      </c>
      <c r="C22" s="67">
        <v>399032</v>
      </c>
      <c r="D22" s="67">
        <v>413776.35931542347</v>
      </c>
      <c r="E22" s="67">
        <v>69536.289281906822</v>
      </c>
      <c r="F22" s="67">
        <v>3383.877548394757</v>
      </c>
      <c r="G22" s="59">
        <f t="shared" si="12"/>
        <v>921783</v>
      </c>
      <c r="H22" s="59">
        <f t="shared" ref="H22:H25" si="14">IF(E22="",,H23+D22)</f>
        <v>1044744.8042777355</v>
      </c>
      <c r="I22" s="59">
        <f>IF(E22="",,I23+E22)</f>
        <v>273641.24396878976</v>
      </c>
      <c r="J22" s="59">
        <f t="shared" si="13"/>
        <v>7252.9521077163809</v>
      </c>
      <c r="K22" s="59">
        <f t="shared" si="4"/>
        <v>5254161.3989086812</v>
      </c>
      <c r="L22" s="59">
        <f>IF(E23="","",G$3*(C21*D22)^0.5/5)</f>
        <v>478837.94439549127</v>
      </c>
      <c r="M22" s="45">
        <f t="shared" ref="M22:M24" si="15">IF(L22="",NA(),L22/K22)</f>
        <v>9.113498959033664E-2</v>
      </c>
      <c r="N22" s="45">
        <f t="shared" si="10"/>
        <v>2.2022325426480527E-2</v>
      </c>
      <c r="O22" s="45">
        <f t="shared" si="5"/>
        <v>5.2080859949530017E-2</v>
      </c>
      <c r="P22" s="45">
        <f>IF(L$3&gt;B22-1,M22-N22,NA())</f>
        <v>6.9112664163856113E-2</v>
      </c>
      <c r="Q22" s="63">
        <f t="shared" ca="1" si="3"/>
        <v>6.5670300819657842E-2</v>
      </c>
      <c r="R22" s="63">
        <f ca="1">IF(L$3&gt;70,P22-Q22,NA())</f>
        <v>3.4423633441982709E-3</v>
      </c>
    </row>
    <row r="23" spans="1:19">
      <c r="A23" s="60" t="str">
        <f>IF(E23="","", IF(E24="","75+", "   75-79"))</f>
        <v xml:space="preserve">   75-79</v>
      </c>
      <c r="B23" s="1">
        <f>IF(E24="","",75)</f>
        <v>75</v>
      </c>
      <c r="C23" s="67">
        <v>231155</v>
      </c>
      <c r="D23" s="67">
        <v>304906.3815560232</v>
      </c>
      <c r="E23" s="67">
        <v>61941.708099890988</v>
      </c>
      <c r="F23" s="67">
        <v>1660.3422397317063</v>
      </c>
      <c r="G23" s="59">
        <f t="shared" si="12"/>
        <v>522751</v>
      </c>
      <c r="H23" s="59">
        <f t="shared" si="14"/>
        <v>630968.444962312</v>
      </c>
      <c r="I23" s="59">
        <f>IF(E23="",,I24+E23)</f>
        <v>204104.95468688293</v>
      </c>
      <c r="J23" s="59">
        <f t="shared" si="13"/>
        <v>3869.0745593216234</v>
      </c>
      <c r="K23" s="59">
        <f t="shared" si="4"/>
        <v>3074929.8232242903</v>
      </c>
      <c r="L23" s="59">
        <f>IF(E24="","",G$3*(C22*D23)^0.5/5)</f>
        <v>373508.99695543654</v>
      </c>
      <c r="M23" s="45">
        <f t="shared" si="15"/>
        <v>0.12146911260686426</v>
      </c>
      <c r="N23" s="45">
        <f t="shared" si="10"/>
        <v>3.3935203858920404E-2</v>
      </c>
      <c r="O23" s="45">
        <f t="shared" si="5"/>
        <v>6.6377109859653269E-2</v>
      </c>
      <c r="P23" s="45">
        <f>IF(L$3&gt;B23-1,M23-N23,NA())</f>
        <v>8.7533908747943853E-2</v>
      </c>
      <c r="Q23" s="63">
        <f t="shared" ca="1" si="3"/>
        <v>8.5303109815336037E-2</v>
      </c>
      <c r="R23" s="63">
        <f ca="1">IF(L$3&gt;75,P23-Q23,NA())</f>
        <v>2.2307989326078165E-3</v>
      </c>
    </row>
    <row r="24" spans="1:19">
      <c r="A24" s="60" t="str">
        <f>IF(E24="","", IF(E25="","80+", "   80-84"))</f>
        <v xml:space="preserve">   80-84</v>
      </c>
      <c r="B24" s="1">
        <f>IF(E25="","",80)</f>
        <v>80</v>
      </c>
      <c r="C24" s="67">
        <v>180151</v>
      </c>
      <c r="D24" s="67">
        <v>169637.17457712468</v>
      </c>
      <c r="E24" s="67">
        <v>58409.804282709672</v>
      </c>
      <c r="F24" s="67">
        <v>401.33458010101998</v>
      </c>
      <c r="G24" s="59">
        <f>IF(E24="",,G25+C24)</f>
        <v>291596</v>
      </c>
      <c r="H24" s="59">
        <f t="shared" si="14"/>
        <v>326062.06340628874</v>
      </c>
      <c r="I24" s="59">
        <f>IF(E24="",,I25+E24)</f>
        <v>142163.24658699194</v>
      </c>
      <c r="J24" s="59">
        <f t="shared" si="13"/>
        <v>2208.7323195899171</v>
      </c>
      <c r="K24" s="59">
        <f t="shared" si="4"/>
        <v>1650915.5935672682</v>
      </c>
      <c r="L24" s="59">
        <f>IF(E25="","",G$3*(C23*D24)^0.5/5)</f>
        <v>212044.05902366751</v>
      </c>
      <c r="M24" s="45">
        <f t="shared" si="15"/>
        <v>0.12844027874586039</v>
      </c>
      <c r="N24" s="45">
        <f t="shared" si="10"/>
        <v>1.9539055305061219E-2</v>
      </c>
      <c r="O24" s="45">
        <f>IF(L24="",NA(),I24/K24)</f>
        <v>8.6111759523579398E-2</v>
      </c>
      <c r="P24" s="45">
        <f>IF(L$3&gt;B24-1,M24-N24,NA())</f>
        <v>0.10890122344079917</v>
      </c>
      <c r="Q24" s="63">
        <f t="shared" ca="1" si="3"/>
        <v>0.11240438531655217</v>
      </c>
      <c r="R24" s="63">
        <f ca="1">IF(L$3&gt;80,P24-Q24,NA())</f>
        <v>-3.5031618757530025E-3</v>
      </c>
    </row>
    <row r="25" spans="1:19">
      <c r="A25" s="60" t="str">
        <f>IF(E25="","","85+")</f>
        <v>85+</v>
      </c>
      <c r="C25" s="67">
        <v>111445</v>
      </c>
      <c r="D25" s="67">
        <v>156424.88882916409</v>
      </c>
      <c r="E25" s="67">
        <v>83753.442304282275</v>
      </c>
      <c r="F25" s="67">
        <v>1807.3977394888971</v>
      </c>
      <c r="G25" s="59">
        <f>IF(E25="",,G26+C25)</f>
        <v>111445</v>
      </c>
      <c r="H25" s="59">
        <f t="shared" si="14"/>
        <v>156424.88882916409</v>
      </c>
      <c r="I25" s="59">
        <f>IF(E25="",,I26+E25)</f>
        <v>83753.442304282275</v>
      </c>
      <c r="J25" s="59">
        <f>IF(325="",,J26+F25)</f>
        <v>1807.3977394888971</v>
      </c>
      <c r="K25" s="59">
        <f t="shared" si="4"/>
        <v>706914.96256133681</v>
      </c>
      <c r="L25" s="59"/>
      <c r="M25" s="52"/>
      <c r="N25" s="45"/>
    </row>
    <row r="26" spans="1:19">
      <c r="A26" s="57"/>
      <c r="C26" s="58"/>
      <c r="D26" s="58"/>
      <c r="E26" s="58"/>
      <c r="F26" s="58"/>
    </row>
    <row r="27" spans="1:19">
      <c r="A27" s="57" t="s">
        <v>81</v>
      </c>
      <c r="C27" s="58">
        <f>SUM(C8:C25)</f>
        <v>23385731</v>
      </c>
      <c r="D27" s="58">
        <f>SUM(D8:D25)</f>
        <v>25003493.479899619</v>
      </c>
      <c r="E27" s="58">
        <f>SUM(E8:E25)</f>
        <v>1577434.4253303672</v>
      </c>
      <c r="F27" s="58">
        <f>SUM(F8:F25)</f>
        <v>67410.772578966775</v>
      </c>
      <c r="G27" s="52"/>
      <c r="H27" s="52"/>
      <c r="I27" s="52"/>
      <c r="J27" s="52"/>
      <c r="K27" s="52"/>
      <c r="L27" s="45"/>
      <c r="M27" s="52"/>
      <c r="N27" s="52"/>
      <c r="P27" s="1" t="s">
        <v>28</v>
      </c>
      <c r="Q27" s="1">
        <f ca="1">AVERAGE(INDIRECT(ADDRESS(ROW(P8)+L2/5,P7)):INDIRECT(ADDRESS(ROW(P8)+L3/5,P7)))-AVERAGE(INDIRECT(ADDRESS(ROW(O8)+L2/5,O7)):INDIRECT(ADDRESS(ROW(O8)+L3/5,O7)))*Q32</f>
        <v>-5.8515026006751986E-3</v>
      </c>
    </row>
    <row r="28" spans="1:19">
      <c r="L28" s="45"/>
      <c r="P28" s="1" t="s">
        <v>24</v>
      </c>
      <c r="Q28" s="1">
        <f ca="1">EXP(G3*Q27)</f>
        <v>0.96915633095958964</v>
      </c>
      <c r="R28" s="61"/>
    </row>
    <row r="29" spans="1:19">
      <c r="E29" s="52"/>
      <c r="F29" s="52"/>
      <c r="L29" s="45"/>
      <c r="P29" s="1" t="s">
        <v>25</v>
      </c>
      <c r="Q29" s="1">
        <f ca="1">IF(Q28&gt;1,1,Q28)</f>
        <v>0.96915633095958964</v>
      </c>
      <c r="S29" s="62"/>
    </row>
    <row r="30" spans="1:19">
      <c r="C30" s="52"/>
      <c r="D30" s="52"/>
      <c r="E30" s="52"/>
      <c r="F30" s="52"/>
      <c r="L30" s="45"/>
      <c r="P30" s="1" t="s">
        <v>26</v>
      </c>
      <c r="Q30" s="1">
        <f t="shared" ref="Q30" ca="1" si="16">Q29/Q28</f>
        <v>1</v>
      </c>
      <c r="S30" s="62"/>
    </row>
    <row r="31" spans="1:19">
      <c r="C31" s="45"/>
      <c r="E31" s="45"/>
      <c r="L31" s="45"/>
      <c r="P31" s="1" t="s">
        <v>27</v>
      </c>
      <c r="Q31" s="1">
        <f t="shared" ref="Q31" ca="1" si="17">Q29*Q30</f>
        <v>0.96915633095958964</v>
      </c>
    </row>
    <row r="32" spans="1:19">
      <c r="C32" s="45"/>
      <c r="E32" s="45"/>
      <c r="L32" s="45"/>
      <c r="M32" s="45"/>
      <c r="O32" s="45"/>
      <c r="P32" s="1" t="s">
        <v>29</v>
      </c>
      <c r="Q32" s="1">
        <f ca="1">STDEV(INDIRECT(ADDRESS(ROW(P8)+L2/5,P7)):INDIRECT(ADDRESS(ROW(P8)+L3/5,P7)))/STDEV(INDIRECT(ADDRESS(ROW(O8)+L2/5,O7)):INDIRECT(ADDRESS(ROW(O8)+L3/5,O7)))</f>
        <v>1.3732838415042044</v>
      </c>
    </row>
    <row r="33" spans="2:18">
      <c r="C33" s="45"/>
      <c r="E33" s="45"/>
      <c r="L33" s="45"/>
      <c r="M33" s="45"/>
      <c r="O33" s="45"/>
      <c r="P33" s="68" t="s">
        <v>82</v>
      </c>
      <c r="Q33" s="69">
        <f ca="1">SQRT(Q31)/Q32</f>
        <v>0.71686373143869386</v>
      </c>
    </row>
    <row r="34" spans="2:18">
      <c r="B34" s="45"/>
      <c r="C34" s="45"/>
      <c r="D34" s="45"/>
      <c r="E34" s="45"/>
      <c r="L34" s="45"/>
    </row>
    <row r="35" spans="2:18">
      <c r="L35" s="45"/>
      <c r="Q35" s="2"/>
    </row>
    <row r="36" spans="2:18">
      <c r="L36" s="45"/>
    </row>
    <row r="37" spans="2:18">
      <c r="L37" s="45"/>
      <c r="Q37" s="102"/>
    </row>
    <row r="38" spans="2:18">
      <c r="L38" s="45"/>
      <c r="Q38" s="102"/>
    </row>
    <row r="39" spans="2:18">
      <c r="L39" s="45"/>
      <c r="Q39" s="45"/>
      <c r="R39" s="45"/>
    </row>
    <row r="40" spans="2:18">
      <c r="L40" s="45"/>
    </row>
    <row r="41" spans="2:18">
      <c r="L41" s="45"/>
    </row>
    <row r="42" spans="2:18">
      <c r="L42" s="45"/>
    </row>
    <row r="43" spans="2:18">
      <c r="L43" s="45"/>
    </row>
    <row r="44" spans="2:18">
      <c r="L44" s="45"/>
    </row>
    <row r="45" spans="2:18">
      <c r="L45" s="45"/>
    </row>
  </sheetData>
  <protectedRanges>
    <protectedRange sqref="L2:L3" name="Range2"/>
    <protectedRange sqref="C8:F25" name="Range1"/>
  </protectedRanges>
  <phoneticPr fontId="36" type="noConversion"/>
  <pageMargins left="0.75" right="0.75" top="1" bottom="1" header="0.5" footer="0.5"/>
  <pageSetup paperSize="9" orientation="portrait"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48"/>
  <sheetViews>
    <sheetView topLeftCell="K1" zoomScaleNormal="100" workbookViewId="0">
      <selection activeCell="AC21" sqref="AC21"/>
    </sheetView>
  </sheetViews>
  <sheetFormatPr defaultColWidth="9.109375" defaultRowHeight="13.2"/>
  <cols>
    <col min="1" max="1" width="9.33203125" style="44" bestFit="1" customWidth="1"/>
    <col min="2" max="3" width="11.88671875" style="44" customWidth="1"/>
    <col min="4" max="4" width="11.33203125" style="44" customWidth="1"/>
    <col min="5" max="5" width="11.44140625" style="44" customWidth="1"/>
    <col min="6" max="6" width="9.33203125" style="44" bestFit="1" customWidth="1"/>
    <col min="7" max="7" width="6.6640625" style="44" customWidth="1"/>
    <col min="8" max="9" width="9.33203125" style="44" bestFit="1" customWidth="1"/>
    <col min="10" max="10" width="9.6640625" style="44" bestFit="1" customWidth="1"/>
    <col min="11" max="11" width="9.88671875" style="44" customWidth="1"/>
    <col min="12" max="12" width="9.6640625" style="44" bestFit="1" customWidth="1"/>
    <col min="13" max="13" width="9.109375" style="44" customWidth="1"/>
    <col min="14" max="14" width="9.6640625" style="44" bestFit="1" customWidth="1"/>
    <col min="15" max="15" width="10.109375" style="44" customWidth="1"/>
    <col min="16" max="16" width="9.33203125" style="44" bestFit="1" customWidth="1"/>
    <col min="17" max="17" width="10.33203125" style="44" customWidth="1"/>
    <col min="18" max="18" width="5.88671875" style="44" customWidth="1"/>
    <col min="19" max="16384" width="9.109375" style="44"/>
  </cols>
  <sheetData>
    <row r="1" spans="1:31">
      <c r="A1" s="1" t="s">
        <v>73</v>
      </c>
      <c r="B1" s="4" t="str">
        <f>Introduction!D9</f>
        <v>南非</v>
      </c>
      <c r="C1" s="4"/>
      <c r="D1" s="4"/>
      <c r="E1" s="4"/>
      <c r="F1" s="4"/>
      <c r="G1" s="4"/>
      <c r="H1" s="4"/>
      <c r="I1" s="4"/>
      <c r="J1" s="71"/>
      <c r="K1" s="4"/>
      <c r="L1" s="4"/>
      <c r="M1" s="4"/>
      <c r="N1" s="4"/>
      <c r="O1" s="72" t="s">
        <v>96</v>
      </c>
      <c r="P1" s="73"/>
      <c r="Q1" s="73"/>
      <c r="R1" s="4"/>
    </row>
    <row r="2" spans="1:31">
      <c r="A2" s="1"/>
      <c r="B2" s="4"/>
      <c r="C2" s="4"/>
      <c r="D2" s="4"/>
      <c r="E2" s="4"/>
      <c r="F2" s="4"/>
      <c r="G2" s="4"/>
      <c r="H2" s="4"/>
      <c r="I2" s="4"/>
      <c r="J2" s="71"/>
      <c r="K2" s="110" t="s">
        <v>83</v>
      </c>
      <c r="L2" s="74">
        <v>45</v>
      </c>
      <c r="M2" s="75" t="s">
        <v>1</v>
      </c>
      <c r="N2" s="76">
        <f ca="1">INTERCEPT(INDIRECT(ADDRESS(ROW(J7)+L2/5,J6)):INDIRECT(ADDRESS(ROW(J7)+L3/5,J6)),INDIRECT(ADDRESS(ROW(L7)+L2/5,L6)):INDIRECT(ADDRESS(ROW(L7)+L3/5,L6)))</f>
        <v>0.38105183170534151</v>
      </c>
      <c r="O2" s="73" t="s">
        <v>2</v>
      </c>
      <c r="P2" s="77">
        <f ca="1">1-N19/N10</f>
        <v>0.50919059224191143</v>
      </c>
      <c r="Q2" s="77"/>
      <c r="R2" s="4"/>
    </row>
    <row r="3" spans="1:31">
      <c r="A3" s="1" t="s">
        <v>52</v>
      </c>
      <c r="B3" s="4" t="str">
        <f>Introduction!D10</f>
        <v>女性</v>
      </c>
      <c r="C3" s="4"/>
      <c r="D3" s="4"/>
      <c r="E3" s="4"/>
      <c r="F3" s="4"/>
      <c r="G3" s="4"/>
      <c r="H3" s="4"/>
      <c r="I3" s="4"/>
      <c r="J3" s="71"/>
      <c r="K3" s="110" t="s">
        <v>84</v>
      </c>
      <c r="L3" s="74">
        <v>85</v>
      </c>
      <c r="M3" s="75" t="s">
        <v>9</v>
      </c>
      <c r="N3" s="76">
        <f ca="1">SLOPE(INDIRECT(ADDRESS(ROW(J7)+L2/5,J6)):INDIRECT(ADDRESS(ROW(J7)+L3/5,J6)),INDIRECT(ADDRESS(ROW(L7)+L2/5,L6)):INDIRECT(ADDRESS(ROW(L7)+L3/5,L6)))</f>
        <v>0.93309394927152189</v>
      </c>
      <c r="O3" s="73" t="s">
        <v>10</v>
      </c>
      <c r="P3" s="77">
        <f ca="1">1-N17/N10</f>
        <v>0.43156608070596936</v>
      </c>
      <c r="Q3" s="77"/>
      <c r="R3" s="4"/>
    </row>
    <row r="4" spans="1:31">
      <c r="A4" s="4"/>
      <c r="B4" s="4"/>
      <c r="C4" s="4"/>
      <c r="D4" s="4"/>
      <c r="E4" s="4"/>
      <c r="F4" s="4"/>
      <c r="G4" s="4"/>
      <c r="H4" s="4"/>
      <c r="I4" s="4"/>
      <c r="J4" s="71"/>
      <c r="K4" s="4"/>
      <c r="L4" s="4"/>
      <c r="M4" s="4"/>
      <c r="N4" s="4"/>
      <c r="O4" s="4"/>
      <c r="P4" s="4"/>
      <c r="Q4" s="4"/>
      <c r="R4" s="4"/>
    </row>
    <row r="5" spans="1:31" ht="42.75" customHeight="1">
      <c r="A5" s="78" t="s">
        <v>62</v>
      </c>
      <c r="B5" s="79" t="s">
        <v>85</v>
      </c>
      <c r="C5" s="79" t="s">
        <v>86</v>
      </c>
      <c r="D5" s="79" t="s">
        <v>87</v>
      </c>
      <c r="E5" s="80" t="s">
        <v>88</v>
      </c>
      <c r="F5" s="80" t="s">
        <v>89</v>
      </c>
      <c r="G5" s="81" t="s">
        <v>0</v>
      </c>
      <c r="H5" s="82" t="s">
        <v>39</v>
      </c>
      <c r="I5" s="82" t="s">
        <v>40</v>
      </c>
      <c r="J5" s="112" t="s">
        <v>100</v>
      </c>
      <c r="K5" s="80" t="str">
        <f>'Model data'!B23&amp;" 条件 ls(x)"</f>
        <v>艾滋病 条件 ls(x)</v>
      </c>
      <c r="L5" s="83" t="s">
        <v>90</v>
      </c>
      <c r="M5" s="83" t="s">
        <v>91</v>
      </c>
      <c r="N5" s="84" t="s">
        <v>92</v>
      </c>
      <c r="O5" s="85" t="s">
        <v>41</v>
      </c>
      <c r="P5" s="86" t="s">
        <v>42</v>
      </c>
      <c r="Q5" s="87" t="s">
        <v>93</v>
      </c>
      <c r="R5" s="82" t="s">
        <v>62</v>
      </c>
    </row>
    <row r="6" spans="1:31">
      <c r="A6" s="88">
        <f>COLUMN()</f>
        <v>1</v>
      </c>
      <c r="B6" s="88">
        <f>COLUMN()</f>
        <v>2</v>
      </c>
      <c r="C6" s="88"/>
      <c r="D6" s="88">
        <f>COLUMN()</f>
        <v>4</v>
      </c>
      <c r="E6" s="88">
        <f>COLUMN()</f>
        <v>5</v>
      </c>
      <c r="F6" s="88">
        <f>COLUMN()</f>
        <v>6</v>
      </c>
      <c r="G6" s="88">
        <f>COLUMN()</f>
        <v>7</v>
      </c>
      <c r="H6" s="88">
        <f>COLUMN()</f>
        <v>8</v>
      </c>
      <c r="I6" s="88">
        <f>COLUMN()</f>
        <v>9</v>
      </c>
      <c r="J6" s="88">
        <f>COLUMN()</f>
        <v>10</v>
      </c>
      <c r="K6" s="88">
        <f>COLUMN()</f>
        <v>11</v>
      </c>
      <c r="L6" s="88">
        <f>COLUMN()</f>
        <v>12</v>
      </c>
      <c r="M6" s="88">
        <f>COLUMN()</f>
        <v>13</v>
      </c>
      <c r="N6" s="88">
        <f>COLUMN()</f>
        <v>14</v>
      </c>
      <c r="O6" s="88">
        <f>COLUMN()</f>
        <v>15</v>
      </c>
      <c r="P6" s="88">
        <f>COLUMN()</f>
        <v>16</v>
      </c>
      <c r="Q6" s="88">
        <f>COLUMN()</f>
        <v>17</v>
      </c>
      <c r="R6" s="88">
        <f>COLUMN()</f>
        <v>18</v>
      </c>
    </row>
    <row r="7" spans="1:31">
      <c r="A7" s="89" t="s">
        <v>11</v>
      </c>
      <c r="B7" s="90"/>
      <c r="C7" s="90"/>
      <c r="D7" s="90"/>
      <c r="E7" s="90"/>
      <c r="F7" s="91"/>
      <c r="G7" s="4">
        <v>0</v>
      </c>
      <c r="H7" s="4"/>
      <c r="I7" s="4"/>
      <c r="J7" s="4"/>
      <c r="K7" s="4"/>
      <c r="L7" s="4"/>
      <c r="M7" s="4"/>
      <c r="N7" s="4"/>
      <c r="O7" s="4"/>
      <c r="P7" s="4"/>
      <c r="Q7" s="4"/>
      <c r="R7" s="4">
        <v>0</v>
      </c>
      <c r="AD7" s="4"/>
      <c r="AE7" s="4"/>
    </row>
    <row r="8" spans="1:31">
      <c r="A8" s="89" t="s">
        <v>12</v>
      </c>
      <c r="B8" s="90">
        <f ca="1">Method!C9/Method!Q$29</f>
        <v>2504346.2261623521</v>
      </c>
      <c r="C8" s="90">
        <f ca="1">Method!D9/Method!Q$30</f>
        <v>2550916</v>
      </c>
      <c r="D8" s="90">
        <f ca="1">Method!E9/Method!Q$33</f>
        <v>32077.38857854201</v>
      </c>
      <c r="E8" s="90">
        <f ca="1">Method!G$3*('Mortality rates'!B8*'Mortality rates'!C8)^0.5</f>
        <v>13532536.780333007</v>
      </c>
      <c r="F8" s="91">
        <f t="shared" ref="F8:F20" ca="1" si="0">D8/E8</f>
        <v>2.3703899053989976E-3</v>
      </c>
      <c r="G8" s="4">
        <v>5</v>
      </c>
      <c r="H8" s="92">
        <f ca="1">5*F8/(1+2.5*F8)</f>
        <v>1.1782128928305576E-2</v>
      </c>
      <c r="I8" s="4">
        <v>1</v>
      </c>
      <c r="J8" s="4"/>
      <c r="K8" s="93">
        <f>'Model data'!D26</f>
        <v>1</v>
      </c>
      <c r="L8" s="4"/>
      <c r="M8" s="4"/>
      <c r="N8" s="94">
        <v>1</v>
      </c>
      <c r="O8" s="95">
        <f t="shared" ref="O8:O24" ca="1" si="1">O9+2.5*(N9+N8)</f>
        <v>48.447537796324312</v>
      </c>
      <c r="P8" s="96">
        <f t="shared" ref="P8:P24" ca="1" si="2">O8/N8</f>
        <v>48.447537796324312</v>
      </c>
      <c r="Q8" s="91">
        <f t="shared" ref="Q8:Q24" ca="1" si="3">(N8-N9)/(2.5*(N8+N9))</f>
        <v>9.3865590213269255E-3</v>
      </c>
      <c r="R8" s="4">
        <v>5</v>
      </c>
    </row>
    <row r="9" spans="1:31">
      <c r="A9" s="89" t="s">
        <v>13</v>
      </c>
      <c r="B9" s="90">
        <f ca="1">Method!C10/Method!Q$29</f>
        <v>2623907.9483514545</v>
      </c>
      <c r="C9" s="90">
        <f ca="1">Method!D10/Method!Q$30</f>
        <v>2488108.7000000002</v>
      </c>
      <c r="D9" s="90">
        <f ca="1">Method!E10/Method!Q$33</f>
        <v>21166.175269227795</v>
      </c>
      <c r="E9" s="90">
        <f ca="1">Method!G$3*('Mortality rates'!B9*'Mortality rates'!C9)^0.5</f>
        <v>13680215.058177143</v>
      </c>
      <c r="F9" s="91">
        <f t="shared" ca="1" si="0"/>
        <v>1.5472107111778211E-3</v>
      </c>
      <c r="G9" s="4">
        <v>10</v>
      </c>
      <c r="H9" s="92">
        <f t="shared" ref="H9:H19" ca="1" si="4">5*F9/(1+2.5*F9)</f>
        <v>7.7062455915834433E-3</v>
      </c>
      <c r="I9" s="92">
        <f t="shared" ref="I9:I25" ca="1" si="5">I8*(1-H8)</f>
        <v>0.98821787107169445</v>
      </c>
      <c r="J9" s="76">
        <f t="shared" ref="J9:J25" ca="1" si="6">IF(I9=0,NA(),0.5*LN((1-I9)/I9))</f>
        <v>-2.2146596524284501</v>
      </c>
      <c r="K9" s="93">
        <f>'Model data'!D27</f>
        <v>0.98320410996033836</v>
      </c>
      <c r="L9" s="76">
        <f>0.5*LN((K$8-K9)/K9)</f>
        <v>-2.0348412612235305</v>
      </c>
      <c r="M9" s="76">
        <f t="shared" ref="M9:M27" ca="1" si="7">N$2+N$3*L9</f>
        <v>-1.5176462368703671</v>
      </c>
      <c r="N9" s="97">
        <f ca="1">(1/(1+EXP(2*M9)))</f>
        <v>0.95414329652753482</v>
      </c>
      <c r="O9" s="95">
        <f t="shared" ca="1" si="1"/>
        <v>43.562179555005471</v>
      </c>
      <c r="P9" s="96">
        <f t="shared" ca="1" si="2"/>
        <v>45.655804231443703</v>
      </c>
      <c r="Q9" s="91">
        <f t="shared" ca="1" si="3"/>
        <v>3.486260775499142E-3</v>
      </c>
      <c r="R9" s="4">
        <v>10</v>
      </c>
    </row>
    <row r="10" spans="1:31">
      <c r="A10" s="89" t="s">
        <v>14</v>
      </c>
      <c r="B10" s="90">
        <f ca="1">Method!C11/Method!Q$29</f>
        <v>2609179.6743423822</v>
      </c>
      <c r="C10" s="90">
        <f ca="1">Method!D11/Method!Q$30</f>
        <v>2534285</v>
      </c>
      <c r="D10" s="90">
        <f ca="1">Method!E11/Method!Q$33</f>
        <v>49753.220349852265</v>
      </c>
      <c r="E10" s="90">
        <f ca="1">Method!G$3*('Mortality rates'!B10*'Mortality rates'!C10)^0.5</f>
        <v>13767772.217392931</v>
      </c>
      <c r="F10" s="91">
        <f t="shared" ca="1" si="0"/>
        <v>3.6137451698248354E-3</v>
      </c>
      <c r="G10" s="4">
        <v>15</v>
      </c>
      <c r="H10" s="92">
        <f ca="1">5*F10/(1+2.5*F10)</f>
        <v>1.7906947982181891E-2</v>
      </c>
      <c r="I10" s="92">
        <f t="shared" ca="1" si="5"/>
        <v>0.98060242145922427</v>
      </c>
      <c r="J10" s="76">
        <f t="shared" ca="1" si="6"/>
        <v>-1.9615094288929213</v>
      </c>
      <c r="K10" s="93">
        <f>'Model data'!D28</f>
        <v>0.97638131110322068</v>
      </c>
      <c r="L10" s="76">
        <f t="shared" ref="L10:L27" si="8">0.5*LN((K$8-K10)/K10)</f>
        <v>-1.8609074483360626</v>
      </c>
      <c r="M10" s="76">
        <f t="shared" ca="1" si="7"/>
        <v>-1.3553496484913456</v>
      </c>
      <c r="N10" s="97">
        <f t="shared" ref="N10:N27" ca="1" si="9">(1/(1+EXP(2*M10)))</f>
        <v>0.93765504068211358</v>
      </c>
      <c r="O10" s="95">
        <f t="shared" ca="1" si="1"/>
        <v>38.832683711981353</v>
      </c>
      <c r="P10" s="96">
        <f t="shared" ca="1" si="2"/>
        <v>41.41468026848321</v>
      </c>
      <c r="Q10" s="91">
        <f t="shared" ca="1" si="3"/>
        <v>6.6958580380346716E-3</v>
      </c>
      <c r="R10" s="4">
        <v>15</v>
      </c>
    </row>
    <row r="11" spans="1:31">
      <c r="A11" s="89" t="s">
        <v>15</v>
      </c>
      <c r="B11" s="90">
        <f ca="1">Method!C12/Method!Q$29</f>
        <v>2265198.0179774915</v>
      </c>
      <c r="C11" s="90">
        <f ca="1">Method!D12/Method!Q$30</f>
        <v>2422487.4</v>
      </c>
      <c r="D11" s="90">
        <f ca="1">Method!E12/Method!Q$33</f>
        <v>133907.4333181309</v>
      </c>
      <c r="E11" s="90">
        <f ca="1">Method!G$3*('Mortality rates'!B11*'Mortality rates'!C11)^0.5</f>
        <v>12542029.044252805</v>
      </c>
      <c r="F11" s="91">
        <f t="shared" ca="1" si="0"/>
        <v>1.0676696158624505E-2</v>
      </c>
      <c r="G11" s="4">
        <v>20</v>
      </c>
      <c r="H11" s="92">
        <f t="shared" ca="1" si="4"/>
        <v>5.1995627015079593E-2</v>
      </c>
      <c r="I11" s="92">
        <f t="shared" ca="1" si="5"/>
        <v>0.96304282490695237</v>
      </c>
      <c r="J11" s="76">
        <f t="shared" ca="1" si="6"/>
        <v>-1.6301690343652118</v>
      </c>
      <c r="K11" s="93">
        <f>'Model data'!D29</f>
        <v>0.9628454159113693</v>
      </c>
      <c r="L11" s="76">
        <f t="shared" si="8"/>
        <v>-1.6274028589318907</v>
      </c>
      <c r="M11" s="76">
        <f t="shared" ca="1" si="7"/>
        <v>-1.1374679289911818</v>
      </c>
      <c r="N11" s="97">
        <f t="shared" ca="1" si="9"/>
        <v>0.90677985512530423</v>
      </c>
      <c r="O11" s="95">
        <f t="shared" ca="1" si="1"/>
        <v>34.221596472462807</v>
      </c>
      <c r="P11" s="96">
        <f t="shared" ca="1" si="2"/>
        <v>37.73969644234527</v>
      </c>
      <c r="Q11" s="91">
        <f t="shared" ca="1" si="3"/>
        <v>1.2845541826580308E-2</v>
      </c>
      <c r="R11" s="4">
        <v>20</v>
      </c>
    </row>
    <row r="12" spans="1:31">
      <c r="A12" s="89" t="s">
        <v>16</v>
      </c>
      <c r="B12" s="90">
        <f ca="1">Method!C13/Method!Q$29</f>
        <v>2100725.0687659089</v>
      </c>
      <c r="C12" s="90">
        <f ca="1">Method!D13/Method!Q$30</f>
        <v>2021156.4</v>
      </c>
      <c r="D12" s="90">
        <f ca="1">Method!E13/Method!Q$33</f>
        <v>213036.15499600119</v>
      </c>
      <c r="E12" s="90">
        <f ca="1">Method!G$3*('Mortality rates'!B12*'Mortality rates'!C12)^0.5</f>
        <v>11032362.461265847</v>
      </c>
      <c r="F12" s="91">
        <f t="shared" ca="1" si="0"/>
        <v>1.9310112022149564E-2</v>
      </c>
      <c r="G12" s="4">
        <v>25</v>
      </c>
      <c r="H12" s="92">
        <f t="shared" ca="1" si="4"/>
        <v>9.2104203874432355E-2</v>
      </c>
      <c r="I12" s="92">
        <f t="shared" ca="1" si="5"/>
        <v>0.91296880938354186</v>
      </c>
      <c r="J12" s="76">
        <f t="shared" ca="1" si="6"/>
        <v>-1.1752175749980918</v>
      </c>
      <c r="K12" s="93">
        <f>'Model data'!D30</f>
        <v>0.9357571294879411</v>
      </c>
      <c r="L12" s="76">
        <f t="shared" si="8"/>
        <v>-1.3393426064696889</v>
      </c>
      <c r="M12" s="76">
        <f t="shared" ca="1" si="7"/>
        <v>-0.86868065039307441</v>
      </c>
      <c r="N12" s="97">
        <f t="shared" ca="1" si="9"/>
        <v>0.85035159139753258</v>
      </c>
      <c r="O12" s="95">
        <f t="shared" ca="1" si="1"/>
        <v>29.828767856155718</v>
      </c>
      <c r="P12" s="96">
        <f t="shared" ca="1" si="2"/>
        <v>35.078158444006498</v>
      </c>
      <c r="Q12" s="91">
        <f t="shared" ca="1" si="3"/>
        <v>2.1172344386961115E-2</v>
      </c>
      <c r="R12" s="4">
        <v>25</v>
      </c>
    </row>
    <row r="13" spans="1:31">
      <c r="A13" s="89" t="s">
        <v>17</v>
      </c>
      <c r="B13" s="90">
        <f ca="1">Method!C14/Method!Q$29</f>
        <v>1802118.9607983113</v>
      </c>
      <c r="C13" s="90">
        <f ca="1">Method!D14/Method!Q$30</f>
        <v>1850429.3</v>
      </c>
      <c r="D13" s="90">
        <f ca="1">Method!E14/Method!Q$33</f>
        <v>232244.32956743389</v>
      </c>
      <c r="E13" s="90">
        <f ca="1">Method!G$3*('Mortality rates'!B13*'Mortality rates'!C13)^0.5</f>
        <v>9777142.1298688967</v>
      </c>
      <c r="F13" s="91">
        <f t="shared" ca="1" si="0"/>
        <v>2.3753805200185638E-2</v>
      </c>
      <c r="G13" s="4">
        <v>30</v>
      </c>
      <c r="H13" s="92">
        <f t="shared" ca="1" si="4"/>
        <v>0.11211134818701675</v>
      </c>
      <c r="I13" s="92">
        <f t="shared" ca="1" si="5"/>
        <v>0.82888054403308231</v>
      </c>
      <c r="J13" s="76">
        <f t="shared" ca="1" si="6"/>
        <v>-0.78885708138518229</v>
      </c>
      <c r="K13" s="93">
        <f>'Model data'!D31</f>
        <v>0.88902488270950042</v>
      </c>
      <c r="L13" s="76">
        <f t="shared" si="8"/>
        <v>-1.0404096085214742</v>
      </c>
      <c r="M13" s="76">
        <f t="shared" ca="1" si="7"/>
        <v>-0.58974807876999891</v>
      </c>
      <c r="N13" s="97">
        <f t="shared" ca="1" si="9"/>
        <v>0.76485719945556074</v>
      </c>
      <c r="O13" s="95">
        <f t="shared" ca="1" si="1"/>
        <v>25.790745879022985</v>
      </c>
      <c r="P13" s="96">
        <f t="shared" ca="1" si="2"/>
        <v>33.719687671608902</v>
      </c>
      <c r="Q13" s="91">
        <f t="shared" ca="1" si="3"/>
        <v>2.357482627705967E-2</v>
      </c>
      <c r="R13" s="4">
        <v>30</v>
      </c>
    </row>
    <row r="14" spans="1:31">
      <c r="A14" s="89" t="s">
        <v>18</v>
      </c>
      <c r="B14" s="90">
        <f ca="1">Method!C15/Method!Q$29</f>
        <v>1682254.913802942</v>
      </c>
      <c r="C14" s="90">
        <f ca="1">Method!D15/Method!Q$30</f>
        <v>1664349.2</v>
      </c>
      <c r="D14" s="90">
        <f ca="1">Method!E15/Method!Q$33</f>
        <v>192278.48827849978</v>
      </c>
      <c r="E14" s="90">
        <f ca="1">Method!G$3*('Mortality rates'!B14*'Mortality rates'!C14)^0.5</f>
        <v>8958846.1973658334</v>
      </c>
      <c r="F14" s="91">
        <f t="shared" ca="1" si="0"/>
        <v>2.1462416481157511E-2</v>
      </c>
      <c r="G14" s="4">
        <v>35</v>
      </c>
      <c r="H14" s="92">
        <f t="shared" ca="1" si="4"/>
        <v>0.10184735645161395</v>
      </c>
      <c r="I14" s="92">
        <f t="shared" ca="1" si="5"/>
        <v>0.7359536287555456</v>
      </c>
      <c r="J14" s="76">
        <f t="shared" ca="1" si="6"/>
        <v>-0.51252118798032753</v>
      </c>
      <c r="K14" s="93">
        <f>'Model data'!D32</f>
        <v>0.83523339186716261</v>
      </c>
      <c r="L14" s="76">
        <f t="shared" si="8"/>
        <v>-0.81159061031057433</v>
      </c>
      <c r="M14" s="76">
        <f t="shared" ca="1" si="7"/>
        <v>-0.37623845606103701</v>
      </c>
      <c r="N14" s="97">
        <f t="shared" ca="1" si="9"/>
        <v>0.67971816623015879</v>
      </c>
      <c r="O14" s="95">
        <f t="shared" ca="1" si="1"/>
        <v>22.179307464808687</v>
      </c>
      <c r="P14" s="96">
        <f t="shared" ca="1" si="2"/>
        <v>32.630152564288785</v>
      </c>
      <c r="Q14" s="91">
        <f t="shared" ca="1" si="3"/>
        <v>2.018787925663296E-2</v>
      </c>
      <c r="R14" s="4">
        <v>35</v>
      </c>
    </row>
    <row r="15" spans="1:31">
      <c r="A15" s="89" t="s">
        <v>19</v>
      </c>
      <c r="B15" s="90">
        <f ca="1">Method!C16/Method!Q$29</f>
        <v>1430092.2933947078</v>
      </c>
      <c r="C15" s="90">
        <f ca="1">Method!D16/Method!Q$30</f>
        <v>1520926.4</v>
      </c>
      <c r="D15" s="90">
        <f ca="1">Method!E16/Method!Q$33</f>
        <v>156109.99534654428</v>
      </c>
      <c r="E15" s="90">
        <f ca="1">Method!G$3*('Mortality rates'!B15*'Mortality rates'!C15)^0.5</f>
        <v>7896235.358022891</v>
      </c>
      <c r="F15" s="91">
        <f t="shared" ca="1" si="0"/>
        <v>1.9770180126144579E-2</v>
      </c>
      <c r="G15" s="4">
        <v>40</v>
      </c>
      <c r="H15" s="92">
        <f t="shared" ca="1" si="4"/>
        <v>9.4195257605976052E-2</v>
      </c>
      <c r="I15" s="92">
        <f t="shared" ca="1" si="5"/>
        <v>0.66099869719582083</v>
      </c>
      <c r="J15" s="76">
        <f t="shared" ca="1" si="6"/>
        <v>-0.33387395921853996</v>
      </c>
      <c r="K15" s="93">
        <f>'Model data'!D33</f>
        <v>0.78851818916567196</v>
      </c>
      <c r="L15" s="76">
        <f t="shared" si="8"/>
        <v>-0.65800824009637715</v>
      </c>
      <c r="M15" s="76">
        <f t="shared" ca="1" si="7"/>
        <v>-0.23293167569939077</v>
      </c>
      <c r="N15" s="97">
        <f t="shared" ca="1" si="9"/>
        <v>0.61440420099788917</v>
      </c>
      <c r="O15" s="95">
        <f t="shared" ca="1" si="1"/>
        <v>18.944001546738566</v>
      </c>
      <c r="P15" s="96">
        <f t="shared" ca="1" si="2"/>
        <v>30.833125027417658</v>
      </c>
      <c r="Q15" s="91">
        <f t="shared" ca="1" si="3"/>
        <v>1.5706305143282591E-2</v>
      </c>
      <c r="R15" s="4">
        <v>40</v>
      </c>
    </row>
    <row r="16" spans="1:31">
      <c r="A16" s="89" t="s">
        <v>20</v>
      </c>
      <c r="B16" s="90">
        <f ca="1">Method!C17/Method!Q$29</f>
        <v>1155561.7646238094</v>
      </c>
      <c r="C16" s="90">
        <f ca="1">Method!D17/Method!Q$30</f>
        <v>1294503.5</v>
      </c>
      <c r="D16" s="90">
        <f ca="1">Method!E17/Method!Q$33</f>
        <v>118967.98175150868</v>
      </c>
      <c r="E16" s="90">
        <f ca="1">Method!G$3*('Mortality rates'!B16*'Mortality rates'!C16)^0.5</f>
        <v>6548353.9909062674</v>
      </c>
      <c r="F16" s="91">
        <f t="shared" ca="1" si="0"/>
        <v>1.8167616154642848E-2</v>
      </c>
      <c r="G16" s="4">
        <v>45</v>
      </c>
      <c r="H16" s="92">
        <f t="shared" ca="1" si="4"/>
        <v>8.6891549956485736E-2</v>
      </c>
      <c r="I16" s="92">
        <f t="shared" ca="1" si="5"/>
        <v>0.59873575463624595</v>
      </c>
      <c r="J16" s="76">
        <f t="shared" ca="1" si="6"/>
        <v>-0.20010009016231342</v>
      </c>
      <c r="K16" s="93">
        <f>'Model data'!D34</f>
        <v>0.75212349180925553</v>
      </c>
      <c r="L16" s="76">
        <f t="shared" si="8"/>
        <v>-0.55498492849825398</v>
      </c>
      <c r="M16" s="76">
        <f t="shared" ca="1" si="7"/>
        <v>-0.13680124701326746</v>
      </c>
      <c r="N16" s="97">
        <f t="shared" ca="1" si="9"/>
        <v>0.56797709732977675</v>
      </c>
      <c r="O16" s="95">
        <f t="shared" ca="1" si="1"/>
        <v>15.988048300919401</v>
      </c>
      <c r="P16" s="96">
        <f t="shared" ca="1" si="2"/>
        <v>28.149107377892175</v>
      </c>
      <c r="Q16" s="91">
        <f t="shared" ca="1" si="3"/>
        <v>1.2709557281943231E-2</v>
      </c>
      <c r="R16" s="4">
        <v>45</v>
      </c>
    </row>
    <row r="17" spans="1:18">
      <c r="A17" s="89" t="s">
        <v>21</v>
      </c>
      <c r="B17" s="90">
        <f ca="1">Method!C18/Method!Q$29</f>
        <v>896280.58162705123</v>
      </c>
      <c r="C17" s="90">
        <f ca="1">Method!D18/Method!Q$30</f>
        <v>1074540.7</v>
      </c>
      <c r="D17" s="90">
        <f ca="1">Method!E18/Method!Q$33</f>
        <v>107329.54810525724</v>
      </c>
      <c r="E17" s="90">
        <f ca="1">Method!G$3*('Mortality rates'!B17*'Mortality rates'!C17)^0.5</f>
        <v>5254330.4292041697</v>
      </c>
      <c r="F17" s="91">
        <f t="shared" ca="1" si="0"/>
        <v>2.0426874470761743E-2</v>
      </c>
      <c r="G17" s="4">
        <v>50</v>
      </c>
      <c r="H17" s="92">
        <f t="shared" ca="1" si="4"/>
        <v>9.7172068253131211E-2</v>
      </c>
      <c r="I17" s="92">
        <f t="shared" ca="1" si="5"/>
        <v>0.54671067690153641</v>
      </c>
      <c r="J17" s="76">
        <f t="shared" ca="1" si="6"/>
        <v>-9.3694565744011388E-2</v>
      </c>
      <c r="K17" s="93">
        <f>'Model data'!D35</f>
        <v>0.72280096172609243</v>
      </c>
      <c r="L17" s="76">
        <f t="shared" si="8"/>
        <v>-0.47919904569705241</v>
      </c>
      <c r="M17" s="76">
        <f t="shared" ca="1" si="7"/>
        <v>-6.6085898331265602E-2</v>
      </c>
      <c r="N17" s="97">
        <f t="shared" ca="1" si="9"/>
        <v>0.53299492972073759</v>
      </c>
      <c r="O17" s="95">
        <f t="shared" ca="1" si="1"/>
        <v>13.235618233293115</v>
      </c>
      <c r="P17" s="96">
        <f t="shared" ca="1" si="2"/>
        <v>24.832540602643089</v>
      </c>
      <c r="Q17" s="91">
        <f t="shared" ca="1" si="3"/>
        <v>1.3292513885163969E-2</v>
      </c>
      <c r="R17" s="4">
        <v>50</v>
      </c>
    </row>
    <row r="18" spans="1:18">
      <c r="A18" s="89" t="s">
        <v>22</v>
      </c>
      <c r="B18" s="90">
        <f ca="1">Method!C19/Method!Q$29</f>
        <v>673812.86087603238</v>
      </c>
      <c r="C18" s="90">
        <f ca="1">Method!D19/Method!Q$30</f>
        <v>849485.89391343389</v>
      </c>
      <c r="D18" s="90">
        <f ca="1">Method!E19/Method!Q$33</f>
        <v>80004.753036741924</v>
      </c>
      <c r="E18" s="90">
        <f ca="1">Method!G$3*('Mortality rates'!B18*'Mortality rates'!C18)^0.5</f>
        <v>4050714.9801122104</v>
      </c>
      <c r="F18" s="91">
        <f t="shared" ca="1" si="0"/>
        <v>1.9750773241154006E-2</v>
      </c>
      <c r="G18" s="4">
        <v>55</v>
      </c>
      <c r="H18" s="92">
        <f t="shared" ca="1" si="4"/>
        <v>9.4107144049532687E-2</v>
      </c>
      <c r="I18" s="92">
        <f t="shared" ca="1" si="5"/>
        <v>0.49358566969094475</v>
      </c>
      <c r="J18" s="76">
        <f t="shared" ca="1" si="6"/>
        <v>1.2829364444555432E-2</v>
      </c>
      <c r="K18" s="93">
        <f>'Model data'!D36</f>
        <v>0.69236927413076821</v>
      </c>
      <c r="L18" s="76">
        <f t="shared" si="8"/>
        <v>-0.40560966236923085</v>
      </c>
      <c r="M18" s="76">
        <f t="shared" ca="1" si="7"/>
        <v>2.5799099825473126E-3</v>
      </c>
      <c r="N18" s="97">
        <f t="shared" ca="1" si="9"/>
        <v>0.49871004787067114</v>
      </c>
      <c r="O18" s="95">
        <f t="shared" ca="1" si="1"/>
        <v>10.656355789314594</v>
      </c>
      <c r="P18" s="96">
        <f t="shared" ca="1" si="2"/>
        <v>21.367838556318944</v>
      </c>
      <c r="Q18" s="91">
        <f t="shared" ca="1" si="3"/>
        <v>1.6059789828076123E-2</v>
      </c>
      <c r="R18" s="4">
        <v>55</v>
      </c>
    </row>
    <row r="19" spans="1:18">
      <c r="A19" s="89" t="s">
        <v>23</v>
      </c>
      <c r="B19" s="90">
        <f ca="1">Method!C20/Method!Q$29</f>
        <v>640620.07352855825</v>
      </c>
      <c r="C19" s="90">
        <f ca="1">Method!D20/Method!Q$30</f>
        <v>647158.57880766876</v>
      </c>
      <c r="D19" s="90">
        <f ca="1">Method!E20/Method!Q$33</f>
        <v>96559.107055180051</v>
      </c>
      <c r="E19" s="90">
        <f ca="1">Method!G$3*('Mortality rates'!B19*'Mortality rates'!C19)^0.5</f>
        <v>3447383.3522000383</v>
      </c>
      <c r="F19" s="91">
        <f t="shared" ca="1" si="0"/>
        <v>2.8009390656701501E-2</v>
      </c>
      <c r="G19" s="4">
        <v>60</v>
      </c>
      <c r="H19" s="92">
        <f t="shared" ca="1" si="4"/>
        <v>0.1308821314117723</v>
      </c>
      <c r="I19" s="92">
        <f t="shared" ca="1" si="5"/>
        <v>0.44713573197255396</v>
      </c>
      <c r="J19" s="76">
        <f t="shared" ca="1" si="6"/>
        <v>0.10612516266207257</v>
      </c>
      <c r="K19" s="93">
        <f>'Model data'!D37</f>
        <v>0.65606676019460419</v>
      </c>
      <c r="L19" s="76">
        <f t="shared" si="8"/>
        <v>-0.32290749207459518</v>
      </c>
      <c r="M19" s="76">
        <f t="shared" ca="1" si="7"/>
        <v>7.9748804676094853E-2</v>
      </c>
      <c r="N19" s="97">
        <f t="shared" ca="1" si="9"/>
        <v>0.46020991519857463</v>
      </c>
      <c r="O19" s="95">
        <f t="shared" ca="1" si="1"/>
        <v>8.2590558816414799</v>
      </c>
      <c r="P19" s="96">
        <f t="shared" ca="1" si="2"/>
        <v>17.94627974948737</v>
      </c>
      <c r="Q19" s="91">
        <f t="shared" ca="1" si="3"/>
        <v>2.2874753966384827E-2</v>
      </c>
      <c r="R19" s="4">
        <v>60</v>
      </c>
    </row>
    <row r="20" spans="1:18">
      <c r="A20" s="98" t="str">
        <f ca="1">IF(E20=0,"", IF(E21=0, "65+", "   65-69"))</f>
        <v xml:space="preserve">   65-69</v>
      </c>
      <c r="B20" s="90">
        <f ca="1">Method!C21/Method!Q$29</f>
        <v>498642.9790140331</v>
      </c>
      <c r="C20" s="90">
        <f ca="1">Method!D21/Method!Q$30</f>
        <v>553050.20290078165</v>
      </c>
      <c r="D20" s="90">
        <f ca="1">Method!E21/Method!Q$33</f>
        <v>93472.516394731138</v>
      </c>
      <c r="E20" s="90">
        <f ca="1">Method!G$3*('Mortality rates'!B20*'Mortality rates'!C20)^0.5</f>
        <v>2811648.8777519804</v>
      </c>
      <c r="F20" s="91">
        <f t="shared" ca="1" si="0"/>
        <v>3.3244733058370342E-2</v>
      </c>
      <c r="G20" s="4">
        <v>65</v>
      </c>
      <c r="H20" s="92">
        <f t="shared" ref="H20:H22" ca="1" si="10">IF(D21=0,NA(),5*F20/(1+2.5*F20))</f>
        <v>0.15346860802525361</v>
      </c>
      <c r="I20" s="92">
        <f t="shared" ca="1" si="5"/>
        <v>0.38861365434162315</v>
      </c>
      <c r="J20" s="76">
        <f t="shared" ca="1" si="6"/>
        <v>0.22657170135221644</v>
      </c>
      <c r="K20" s="93">
        <f>'Model data'!D38</f>
        <v>0.60552786775024225</v>
      </c>
      <c r="L20" s="76">
        <f t="shared" si="8"/>
        <v>-0.2142760445943791</v>
      </c>
      <c r="M20" s="76">
        <f t="shared" ca="1" si="7"/>
        <v>0.18111215102049158</v>
      </c>
      <c r="N20" s="97">
        <f t="shared" ca="1" si="9"/>
        <v>0.41042123198058783</v>
      </c>
      <c r="O20" s="95">
        <f t="shared" ca="1" si="1"/>
        <v>6.0824780136935734</v>
      </c>
      <c r="P20" s="96">
        <f t="shared" ca="1" si="2"/>
        <v>14.820086145010313</v>
      </c>
      <c r="Q20" s="91">
        <f t="shared" ca="1" si="3"/>
        <v>3.4862114699630013E-2</v>
      </c>
      <c r="R20" s="4">
        <v>65</v>
      </c>
    </row>
    <row r="21" spans="1:18">
      <c r="A21" s="98" t="str">
        <f ca="1">IF(E21=0,"", IF(E22=0," 70+", "   70-74"))</f>
        <v xml:space="preserve">   70-74</v>
      </c>
      <c r="B21" s="90">
        <f ca="1">Method!C22/Method!Q$29</f>
        <v>411731.30407651252</v>
      </c>
      <c r="C21" s="90">
        <f ca="1">Method!D22/Method!Q$30</f>
        <v>413776.35931542347</v>
      </c>
      <c r="D21" s="90">
        <f ca="1">Method!E22/Method!Q$33</f>
        <v>97000.707711007359</v>
      </c>
      <c r="E21" s="90">
        <f ca="1">Method!G$3*('Mortality rates'!B21*'Mortality rates'!C21)^0.5</f>
        <v>2209905.6548242215</v>
      </c>
      <c r="F21" s="91">
        <f t="shared" ref="F21:F23" ca="1" si="11">IF(E21&gt;0,D21/E21,NA())</f>
        <v>4.3893596769280591E-2</v>
      </c>
      <c r="G21" s="4">
        <v>70</v>
      </c>
      <c r="H21" s="92">
        <f t="shared" ca="1" si="10"/>
        <v>0.19776629844964785</v>
      </c>
      <c r="I21" s="92">
        <f t="shared" ca="1" si="5"/>
        <v>0.3289736577502072</v>
      </c>
      <c r="J21" s="76">
        <f t="shared" ca="1" si="6"/>
        <v>0.35641535723313639</v>
      </c>
      <c r="K21" s="93">
        <f>'Model data'!D39</f>
        <v>0.53192330203651572</v>
      </c>
      <c r="L21" s="76">
        <f t="shared" si="8"/>
        <v>-6.3933571408291895E-2</v>
      </c>
      <c r="M21" s="76">
        <f t="shared" ca="1" si="7"/>
        <v>0.32139580306894555</v>
      </c>
      <c r="N21" s="97">
        <f t="shared" ca="1" si="9"/>
        <v>0.34461576592220883</v>
      </c>
      <c r="O21" s="95">
        <f t="shared" ca="1" si="1"/>
        <v>4.1948855189365819</v>
      </c>
      <c r="P21" s="96">
        <f t="shared" ca="1" si="2"/>
        <v>12.172645403238766</v>
      </c>
      <c r="Q21" s="91">
        <f t="shared" ca="1" si="3"/>
        <v>4.8407928829617711E-2</v>
      </c>
      <c r="R21" s="4">
        <v>70</v>
      </c>
    </row>
    <row r="22" spans="1:18">
      <c r="A22" s="98" t="str">
        <f ca="1">IF(E22=0,"", IF(E23=0," 75+", "   75-79"))</f>
        <v xml:space="preserve">   75-79</v>
      </c>
      <c r="B22" s="90">
        <f ca="1">Method!C23/Method!Q$29</f>
        <v>238511.57198872833</v>
      </c>
      <c r="C22" s="90">
        <f ca="1">Method!D23/Method!Q$30</f>
        <v>304906.3815560232</v>
      </c>
      <c r="D22" s="90">
        <f ca="1">Method!E23/Method!Q$33</f>
        <v>86406.530813852791</v>
      </c>
      <c r="E22" s="90">
        <f ca="1">Method!G$3*('Mortality rates'!B22*'Mortality rates'!C22)^0.5</f>
        <v>1443849.5328174767</v>
      </c>
      <c r="F22" s="91">
        <f t="shared" ca="1" si="11"/>
        <v>5.9844553639354758E-2</v>
      </c>
      <c r="G22" s="4">
        <v>75</v>
      </c>
      <c r="H22" s="92">
        <f t="shared" ca="1" si="10"/>
        <v>0.26028166764497307</v>
      </c>
      <c r="I22" s="92">
        <f t="shared" ca="1" si="5"/>
        <v>0.26391375516950744</v>
      </c>
      <c r="J22" s="76">
        <f t="shared" ca="1" si="6"/>
        <v>0.51286246376541067</v>
      </c>
      <c r="K22" s="93">
        <f>'Model data'!D40</f>
        <v>0.43830317496687676</v>
      </c>
      <c r="L22" s="76">
        <f t="shared" si="8"/>
        <v>0.1240256979390101</v>
      </c>
      <c r="M22" s="76">
        <f t="shared" ca="1" si="7"/>
        <v>0.49677946000640927</v>
      </c>
      <c r="N22" s="97">
        <f t="shared" ca="1" si="9"/>
        <v>0.2702096977071875</v>
      </c>
      <c r="O22" s="95">
        <f t="shared" ca="1" si="1"/>
        <v>2.6578218598630912</v>
      </c>
      <c r="P22" s="96">
        <f t="shared" ca="1" si="2"/>
        <v>9.8361453434703794</v>
      </c>
      <c r="Q22" s="91">
        <f t="shared" ca="1" si="3"/>
        <v>6.6914132034867208E-2</v>
      </c>
      <c r="R22" s="4">
        <v>75</v>
      </c>
    </row>
    <row r="23" spans="1:18">
      <c r="A23" s="98" t="str">
        <f ca="1">IF(E23=0,"", IF(E24=0," 80+", "   80-84"))</f>
        <v xml:space="preserve">   80-84</v>
      </c>
      <c r="B23" s="90">
        <f ca="1">Method!C24/Method!Q$29</f>
        <v>185884.35554213147</v>
      </c>
      <c r="C23" s="90">
        <f ca="1">Method!D24/Method!Q$30</f>
        <v>169637.17457712468</v>
      </c>
      <c r="D23" s="90">
        <f ca="1">Method!E24/Method!Q$33</f>
        <v>81479.647694667714</v>
      </c>
      <c r="E23" s="90">
        <f ca="1">Method!G$3*('Mortality rates'!B23*'Mortality rates'!C23)^0.5</f>
        <v>950749.02232226101</v>
      </c>
      <c r="F23" s="91">
        <f t="shared" ca="1" si="11"/>
        <v>8.5700480128445292E-2</v>
      </c>
      <c r="G23" s="4">
        <v>80</v>
      </c>
      <c r="H23" s="92">
        <f ca="1">IF(D24=0,NA(),5*F23/(1+2.5*F23))</f>
        <v>0.35289436035056615</v>
      </c>
      <c r="I23" s="92">
        <f t="shared" ca="1" si="5"/>
        <v>0.19522184285954092</v>
      </c>
      <c r="J23" s="76">
        <f t="shared" ca="1" si="6"/>
        <v>0.70821504531662882</v>
      </c>
      <c r="K23" s="93">
        <f>'Model data'!D41</f>
        <v>0.32780972585300416</v>
      </c>
      <c r="L23" s="76">
        <f t="shared" si="8"/>
        <v>0.35905405527249362</v>
      </c>
      <c r="M23" s="76">
        <f t="shared" ca="1" si="7"/>
        <v>0.71608299814150789</v>
      </c>
      <c r="N23" s="97">
        <f t="shared" ca="1" si="9"/>
        <v>0.1927614212513783</v>
      </c>
      <c r="O23" s="95">
        <f ca="1">O24+2.5*(N24+N23)</f>
        <v>1.5003940624666769</v>
      </c>
      <c r="P23" s="96">
        <f t="shared" ca="1" si="2"/>
        <v>7.7836843738043813</v>
      </c>
      <c r="Q23" s="91">
        <f t="shared" ca="1" si="3"/>
        <v>9.4755328520776796E-2</v>
      </c>
      <c r="R23" s="4">
        <v>80</v>
      </c>
    </row>
    <row r="24" spans="1:18">
      <c r="A24" s="98" t="str">
        <f ca="1">IF(E24=0,"", "85+")</f>
        <v>85+</v>
      </c>
      <c r="B24" s="90">
        <f ca="1">Method!C25/Method!Q$29</f>
        <v>114991.76803566366</v>
      </c>
      <c r="C24" s="90">
        <f ca="1">Method!D25/Method!Q$30</f>
        <v>156424.88882916409</v>
      </c>
      <c r="D24" s="90">
        <f ca="1">Method!E25/Method!Q$33</f>
        <v>116833.14224335935</v>
      </c>
      <c r="E24" s="90">
        <f ca="1">Method!G$3*('Mortality rates'!B24*'Mortality rates'!C24)^0.5</f>
        <v>718075.74170329864</v>
      </c>
      <c r="F24" s="91">
        <f ca="1">IF(E24&gt;0,D24/E24,NA())</f>
        <v>0.16270309029828442</v>
      </c>
      <c r="G24" s="4">
        <v>85</v>
      </c>
      <c r="H24" s="92" t="e">
        <f>NA()</f>
        <v>#N/A</v>
      </c>
      <c r="I24" s="92">
        <f t="shared" ca="1" si="5"/>
        <v>0.1263291554971645</v>
      </c>
      <c r="J24" s="76">
        <f t="shared" ca="1" si="6"/>
        <v>0.96690642533817828</v>
      </c>
      <c r="K24" s="93">
        <f>'Model data'!D42</f>
        <v>0.20924461949419443</v>
      </c>
      <c r="L24" s="76">
        <f t="shared" si="8"/>
        <v>0.66474233536003369</v>
      </c>
      <c r="M24" s="76">
        <f t="shared" ca="1" si="7"/>
        <v>1.0013188826544099</v>
      </c>
      <c r="N24" s="97">
        <f t="shared" ca="1" si="9"/>
        <v>0.11892625164778638</v>
      </c>
      <c r="O24" s="95">
        <f t="shared" ca="1" si="1"/>
        <v>0.7211748802187653</v>
      </c>
      <c r="P24" s="96">
        <f t="shared" ca="1" si="2"/>
        <v>6.0640512101113453</v>
      </c>
      <c r="Q24" s="91">
        <f t="shared" ca="1" si="3"/>
        <v>0.13416110263851264</v>
      </c>
      <c r="R24" s="4">
        <v>85</v>
      </c>
    </row>
    <row r="25" spans="1:18">
      <c r="A25" s="89"/>
      <c r="B25" s="90"/>
      <c r="C25" s="90"/>
      <c r="D25" s="90"/>
      <c r="E25" s="4"/>
      <c r="F25" s="4"/>
      <c r="G25" s="4"/>
      <c r="H25" s="92"/>
      <c r="I25" s="92" t="e">
        <f t="shared" ca="1" si="5"/>
        <v>#N/A</v>
      </c>
      <c r="J25" s="76" t="e">
        <f t="shared" ca="1" si="6"/>
        <v>#N/A</v>
      </c>
      <c r="K25" s="93">
        <f>K24*EXP((LN(K24/K23))^2/LN(K23/K22))</f>
        <v>0.10455250196644024</v>
      </c>
      <c r="L25" s="76">
        <f t="shared" si="8"/>
        <v>1.0738171173598614</v>
      </c>
      <c r="M25" s="76">
        <f t="shared" ca="1" si="7"/>
        <v>1.3830240865380159</v>
      </c>
      <c r="N25" s="97">
        <f t="shared" ca="1" si="9"/>
        <v>5.918668253681799E-2</v>
      </c>
      <c r="O25" s="95">
        <f ca="1">O26+2.5*(N26+N25)</f>
        <v>0.27589254475725439</v>
      </c>
      <c r="P25" s="96">
        <f ca="1">O25/N25</f>
        <v>4.6613956540921375</v>
      </c>
      <c r="Q25" s="91">
        <f ca="1">1/P25</f>
        <v>0.21452802426717882</v>
      </c>
      <c r="R25" s="4">
        <v>90</v>
      </c>
    </row>
    <row r="26" spans="1:18">
      <c r="A26" s="89" t="s">
        <v>81</v>
      </c>
      <c r="B26" s="90">
        <f ca="1">SUM(B7:B24)</f>
        <v>21833860.362908069</v>
      </c>
      <c r="C26" s="90">
        <f ca="1">SUM(C7:C24)</f>
        <v>22516142.07989962</v>
      </c>
      <c r="D26" s="90">
        <f ca="1">SUM(D7:D24)</f>
        <v>1908627.1205105386</v>
      </c>
      <c r="E26" s="4"/>
      <c r="F26" s="4"/>
      <c r="G26" s="4"/>
      <c r="H26" s="4"/>
      <c r="I26" s="4"/>
      <c r="J26" s="4"/>
      <c r="K26" s="93">
        <f t="shared" ref="K26:K27" si="12">K25*EXP((LN(K25/K24))^2/LN(K24/K23))</f>
        <v>3.5780661735074382E-2</v>
      </c>
      <c r="L26" s="76">
        <f t="shared" si="8"/>
        <v>1.64695561279424</v>
      </c>
      <c r="M26" s="76">
        <f t="shared" ca="1" si="7"/>
        <v>1.9178161487224183</v>
      </c>
      <c r="N26" s="97">
        <f t="shared" ca="1" si="9"/>
        <v>2.1131504077110026E-2</v>
      </c>
      <c r="O26" s="95">
        <f ca="1">O27+2.5*(N27+N26)</f>
        <v>7.5097078222434346E-2</v>
      </c>
      <c r="P26" s="4"/>
      <c r="Q26" s="4"/>
      <c r="R26" s="4"/>
    </row>
    <row r="27" spans="1:18">
      <c r="A27" s="4"/>
      <c r="B27" s="4"/>
      <c r="C27" s="4"/>
      <c r="D27" s="4"/>
      <c r="E27" s="4"/>
      <c r="F27" s="4"/>
      <c r="G27" s="4"/>
      <c r="H27" s="4"/>
      <c r="I27" s="4"/>
      <c r="J27" s="4"/>
      <c r="K27" s="93">
        <f t="shared" si="12"/>
        <v>6.822388188045956E-3</v>
      </c>
      <c r="L27" s="76">
        <f t="shared" si="8"/>
        <v>2.4903499635754627</v>
      </c>
      <c r="M27" s="76">
        <f t="shared" ca="1" si="7"/>
        <v>2.7047823142861604</v>
      </c>
      <c r="N27" s="97">
        <f t="shared" ca="1" si="9"/>
        <v>4.4536636059318568E-3</v>
      </c>
      <c r="O27" s="95">
        <f ca="1">O28+2.5*(N28+N27)</f>
        <v>1.1134159014829642E-2</v>
      </c>
      <c r="P27" s="104"/>
      <c r="Q27" s="103"/>
      <c r="R27" s="4"/>
    </row>
    <row r="28" spans="1:18">
      <c r="A28" s="4"/>
      <c r="B28" s="4"/>
      <c r="C28" s="4"/>
      <c r="D28" s="4"/>
      <c r="E28" s="4"/>
      <c r="F28" s="4"/>
      <c r="G28" s="4"/>
      <c r="H28" s="4"/>
      <c r="I28" s="4"/>
      <c r="J28" s="4"/>
      <c r="K28" s="4"/>
      <c r="L28" s="4"/>
      <c r="M28" s="4"/>
      <c r="N28" s="4"/>
      <c r="O28" s="4"/>
      <c r="P28" s="104"/>
      <c r="Q28" s="103"/>
      <c r="R28" s="4"/>
    </row>
    <row r="29" spans="1:18">
      <c r="A29" s="4"/>
      <c r="B29" s="4"/>
      <c r="C29" s="4"/>
      <c r="D29" s="4"/>
      <c r="E29" s="4"/>
      <c r="F29" s="4"/>
      <c r="G29" s="4"/>
      <c r="H29" s="4"/>
      <c r="I29" s="4"/>
      <c r="J29" s="4"/>
      <c r="K29" s="4"/>
      <c r="L29" s="4"/>
      <c r="M29" s="4"/>
      <c r="N29" s="4"/>
      <c r="O29" s="4"/>
      <c r="P29" s="104"/>
      <c r="Q29" s="103"/>
      <c r="R29" s="4"/>
    </row>
    <row r="30" spans="1:18">
      <c r="A30" s="4"/>
      <c r="B30" s="4"/>
      <c r="C30" s="4"/>
      <c r="D30" s="4"/>
      <c r="E30" s="4"/>
      <c r="F30" s="4"/>
      <c r="G30" s="4"/>
      <c r="H30" s="4"/>
      <c r="I30" s="4"/>
      <c r="J30" s="4"/>
      <c r="K30" s="4"/>
      <c r="L30" s="4"/>
      <c r="M30" s="4"/>
      <c r="N30" s="4"/>
      <c r="O30" s="4"/>
      <c r="P30" s="104"/>
      <c r="Q30" s="103"/>
      <c r="R30" s="4"/>
    </row>
    <row r="31" spans="1:18">
      <c r="A31" s="4"/>
      <c r="B31" s="4"/>
      <c r="C31" s="4"/>
      <c r="D31" s="4"/>
      <c r="E31" s="4"/>
      <c r="F31" s="4"/>
      <c r="G31" s="4"/>
      <c r="H31" s="4"/>
      <c r="I31" s="4"/>
      <c r="J31" s="4"/>
      <c r="K31" s="4"/>
      <c r="L31" s="4"/>
      <c r="M31" s="4"/>
      <c r="N31" s="4"/>
      <c r="O31" s="4"/>
      <c r="P31" s="104"/>
      <c r="Q31" s="103"/>
      <c r="R31" s="4"/>
    </row>
    <row r="32" spans="1:18">
      <c r="A32" s="4"/>
      <c r="B32" s="4"/>
      <c r="C32" s="4"/>
      <c r="D32" s="4"/>
      <c r="E32" s="4"/>
      <c r="F32" s="4"/>
      <c r="G32" s="4"/>
      <c r="H32" s="4"/>
      <c r="I32" s="4"/>
      <c r="J32" s="4"/>
      <c r="K32" s="4"/>
      <c r="L32" s="4"/>
      <c r="M32" s="4"/>
      <c r="N32" s="4"/>
      <c r="O32" s="4"/>
      <c r="P32" s="104"/>
      <c r="Q32" s="103"/>
      <c r="R32" s="4"/>
    </row>
    <row r="33" spans="1:18">
      <c r="A33" s="4"/>
      <c r="B33" s="4"/>
      <c r="C33" s="4"/>
      <c r="D33" s="4"/>
      <c r="E33" s="4"/>
      <c r="F33" s="4"/>
      <c r="G33" s="4"/>
      <c r="H33" s="4"/>
      <c r="I33" s="4"/>
      <c r="J33" s="4"/>
      <c r="K33" s="4"/>
      <c r="L33" s="4"/>
      <c r="M33" s="4"/>
      <c r="N33" s="4"/>
      <c r="O33" s="4"/>
      <c r="P33" s="104"/>
      <c r="Q33" s="103"/>
      <c r="R33" s="4"/>
    </row>
    <row r="34" spans="1:18">
      <c r="A34" s="4"/>
      <c r="B34" s="4"/>
      <c r="C34" s="4"/>
      <c r="D34" s="4"/>
      <c r="E34" s="4"/>
      <c r="F34" s="4"/>
      <c r="G34" s="4"/>
      <c r="H34" s="4"/>
      <c r="I34" s="4"/>
      <c r="J34" s="4"/>
      <c r="K34" s="4"/>
      <c r="L34" s="4"/>
      <c r="M34" s="4"/>
      <c r="N34" s="4"/>
      <c r="O34" s="4"/>
      <c r="P34" s="104"/>
      <c r="Q34" s="103"/>
      <c r="R34" s="4"/>
    </row>
    <row r="35" spans="1:18">
      <c r="A35" s="4"/>
      <c r="B35" s="4"/>
      <c r="C35" s="4"/>
      <c r="D35" s="4"/>
      <c r="E35" s="4"/>
      <c r="F35" s="4"/>
      <c r="G35" s="4"/>
      <c r="H35" s="4"/>
      <c r="I35" s="4"/>
      <c r="J35" s="4"/>
      <c r="K35" s="4"/>
      <c r="L35" s="4"/>
      <c r="M35" s="4"/>
      <c r="N35" s="4"/>
      <c r="O35" s="4"/>
      <c r="P35" s="104"/>
      <c r="Q35" s="103"/>
      <c r="R35" s="4"/>
    </row>
    <row r="36" spans="1:18" ht="13.8">
      <c r="J36" s="99"/>
      <c r="K36" s="100"/>
      <c r="L36" s="100"/>
      <c r="M36" s="101"/>
      <c r="N36" s="100"/>
      <c r="O36" s="100"/>
      <c r="P36" s="104"/>
      <c r="Q36" s="100"/>
      <c r="R36" s="100"/>
    </row>
    <row r="37" spans="1:18" ht="13.8">
      <c r="J37" s="99"/>
      <c r="K37" s="100"/>
      <c r="L37" s="100"/>
      <c r="M37" s="101"/>
      <c r="N37" s="100"/>
      <c r="O37" s="100"/>
      <c r="P37" s="104"/>
      <c r="Q37" s="100"/>
      <c r="R37" s="100"/>
    </row>
    <row r="38" spans="1:18">
      <c r="P38" s="104"/>
    </row>
    <row r="39" spans="1:18">
      <c r="P39" s="104"/>
    </row>
    <row r="40" spans="1:18">
      <c r="P40" s="104"/>
    </row>
    <row r="41" spans="1:18">
      <c r="P41" s="104"/>
    </row>
    <row r="42" spans="1:18">
      <c r="P42" s="104"/>
    </row>
    <row r="43" spans="1:18">
      <c r="P43" s="104"/>
    </row>
    <row r="44" spans="1:18">
      <c r="P44" s="104"/>
    </row>
    <row r="45" spans="1:18">
      <c r="P45" s="104"/>
    </row>
    <row r="46" spans="1:18">
      <c r="P46" s="104"/>
    </row>
    <row r="47" spans="1:18">
      <c r="P47" s="104"/>
    </row>
    <row r="48" spans="1:18">
      <c r="P48" s="104"/>
    </row>
  </sheetData>
  <protectedRanges>
    <protectedRange sqref="L2:L3" name="Range1"/>
  </protectedRanges>
  <phoneticPr fontId="36" type="noConversion"/>
  <pageMargins left="0.75" right="0.75" top="1" bottom="1" header="0.5" footer="0.5"/>
  <pageSetup paperSize="9" orientation="portrait"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zoomScale="90" zoomScaleNormal="90" workbookViewId="0">
      <selection activeCell="T9" sqref="T9"/>
    </sheetView>
  </sheetViews>
  <sheetFormatPr defaultRowHeight="13.2"/>
  <sheetData/>
  <phoneticPr fontId="36" type="noConversion"/>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Model data</vt:lpstr>
      <vt:lpstr>Method</vt:lpstr>
      <vt:lpstr>Mortality rates</vt:lpstr>
      <vt:lpstr>Graphs</vt:lpstr>
    </vt:vector>
  </TitlesOfParts>
  <Company>University of Cape Town (Commerce 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Dorrrington</dc:creator>
  <cp:lastModifiedBy>gudanan</cp:lastModifiedBy>
  <dcterms:created xsi:type="dcterms:W3CDTF">2011-09-04T06:06:40Z</dcterms:created>
  <dcterms:modified xsi:type="dcterms:W3CDTF">2018-07-19T08:01:40Z</dcterms:modified>
</cp:coreProperties>
</file>