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1092" yWindow="120" windowWidth="2160" windowHeight="1176"/>
  </bookViews>
  <sheets>
    <sheet name="Introduction" sheetId="7" r:id="rId1"/>
    <sheet name="Method" sheetId="2" r:id="rId2"/>
    <sheet name="Alpha and beta plots" sheetId="8" r:id="rId3"/>
    <sheet name="Observed fertility rates" sheetId="4" r:id="rId4"/>
  </sheets>
  <externalReferences>
    <externalReference r:id="rId5"/>
    <externalReference r:id="rId6"/>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hidden="1">#REF!</definedName>
    <definedName name="_Order1" hidden="1">255</definedName>
    <definedName name="_Sort" hidden="1">#REF!</definedName>
    <definedName name="ALPHAC">#REF!</definedName>
    <definedName name="ALPHAF">#REF!</definedName>
    <definedName name="ALPHAP">#REF!</definedName>
    <definedName name="BETAC">#REF!</definedName>
    <definedName name="BETAF">#REF!</definedName>
    <definedName name="BETAP">#REF!</definedName>
    <definedName name="CCONST">#REF!</definedName>
    <definedName name="CINTERCEPT">#REF!</definedName>
    <definedName name="CSLOP">#REF!</definedName>
    <definedName name="FCONST">#REF!</definedName>
    <definedName name="FINTERCEPT">#REF!</definedName>
    <definedName name="FPTS">#REF!</definedName>
    <definedName name="FSLOP">#REF!</definedName>
    <definedName name="graph1" hidden="1">[2]GOMP!$Z$26:$Z$42</definedName>
    <definedName name="graph10" hidden="1">[2]GOMP!$Y$3:$Y$9</definedName>
    <definedName name="graph11" hidden="1">[2]GOMP!$AE$26:$AE$49</definedName>
    <definedName name="graph12" hidden="1">[2]GOMP!$AE$26:$AE$49</definedName>
    <definedName name="graph13" hidden="1">[2]GOMP!$AB$26:$AB$42</definedName>
    <definedName name="graph14" hidden="1">[2]GOMP!$AB$26:$AB$42</definedName>
    <definedName name="graph15" hidden="1">[2]GOMP!$V$3:$V$19</definedName>
    <definedName name="graph16" hidden="1">[2]GOMP!$V$3:$V$9</definedName>
    <definedName name="graph17" hidden="1">[2]GOMP!$AF$26:$AF$49</definedName>
    <definedName name="graph18" hidden="1">[2]GOMP!$AF$26:$AF$49</definedName>
    <definedName name="graph19" hidden="1">[2]GOMP!$Y$26:$Y$60</definedName>
    <definedName name="graph1a" hidden="1">#REF!</definedName>
    <definedName name="graph2" hidden="1">[2]GOMP!$Z$26:$Z$42</definedName>
    <definedName name="graph20" hidden="1">[2]GOMP!$Y$26:$Y$60</definedName>
    <definedName name="graph21" hidden="1">[2]GOMP!$W$3:$W$19</definedName>
    <definedName name="graph3" hidden="1">[2]GOMP!$X$3:$X$18</definedName>
    <definedName name="graph4" hidden="1">[2]GOMP!$AC$26:$AC$42</definedName>
    <definedName name="graph5" hidden="1">[2]GOMP!$AC$26:$AC$42</definedName>
    <definedName name="graph6" hidden="1">[2]GOMP!$Y$3:$Y$19</definedName>
    <definedName name="graph7" hidden="1">[2]GOMP!$AA$26:$AA$60</definedName>
    <definedName name="graph8" hidden="1">[2]GOMP!$AA$26:$AA$60</definedName>
    <definedName name="graph9" hidden="1">[2]GOMP!$X$3:$X$9</definedName>
    <definedName name="HALF">#REF!</definedName>
    <definedName name="IMPORT">#REF!</definedName>
    <definedName name="INPUT">#REF!</definedName>
    <definedName name="LEGB">#REF!</definedName>
    <definedName name="LEGC">#REF!</definedName>
    <definedName name="LEVELC">#REF!</definedName>
    <definedName name="LEVELF">#REF!</definedName>
    <definedName name="LEVELP">#REF!</definedName>
    <definedName name="MAXF">#REF!</definedName>
    <definedName name="MAXP">#REF!</definedName>
    <definedName name="MINF">#REF!</definedName>
    <definedName name="MINP">#REF!</definedName>
    <definedName name="NC">#REF!</definedName>
    <definedName name="NF">#REF!</definedName>
    <definedName name="NONE">#REF!</definedName>
    <definedName name="NP">#REF!</definedName>
    <definedName name="ONE_AHALF">#REF!</definedName>
    <definedName name="PCONST">#REF!</definedName>
    <definedName name="PINTERCEPT">#REF!</definedName>
    <definedName name="PPTS">#REF!</definedName>
    <definedName name="PSLOP">#REF!</definedName>
    <definedName name="results">#REF!</definedName>
    <definedName name="SHIFT">#REF!</definedName>
    <definedName name="smoothed">Method!$CL$19:$CL$20</definedName>
    <definedName name="solver_adj" localSheetId="1" hidden="1">Method!#REF!</definedName>
    <definedName name="solver_cvg" localSheetId="1" hidden="1">0.0001</definedName>
    <definedName name="solver_drv" localSheetId="1" hidden="1">2</definedName>
    <definedName name="solver_eng" localSheetId="1" hidden="1">1</definedName>
    <definedName name="solver_est" localSheetId="1" hidden="1">1</definedName>
    <definedName name="solver_itr" localSheetId="1" hidden="1">2147483647</definedName>
    <definedName name="solver_mip" localSheetId="1" hidden="1">2147483647</definedName>
    <definedName name="solver_mni" localSheetId="1" hidden="1">30</definedName>
    <definedName name="solver_mrt" localSheetId="1" hidden="1">0.075</definedName>
    <definedName name="solver_msl" localSheetId="1" hidden="1">2</definedName>
    <definedName name="solver_neg" localSheetId="1" hidden="1">1</definedName>
    <definedName name="solver_nod" localSheetId="1" hidden="1">2147483647</definedName>
    <definedName name="solver_num" localSheetId="1" hidden="1">0</definedName>
    <definedName name="solver_nwt" localSheetId="1" hidden="1">1</definedName>
    <definedName name="solver_opt" localSheetId="1" hidden="1">Method!#REF!</definedName>
    <definedName name="solver_pre" localSheetId="1" hidden="1">0.000001</definedName>
    <definedName name="solver_rbv" localSheetId="1" hidden="1">2</definedName>
    <definedName name="solver_rlx" localSheetId="1" hidden="1">2</definedName>
    <definedName name="solver_rsd" localSheetId="1" hidden="1">0</definedName>
    <definedName name="solver_scl" localSheetId="1" hidden="1">2</definedName>
    <definedName name="solver_sho" localSheetId="1" hidden="1">2</definedName>
    <definedName name="solver_ssz" localSheetId="1" hidden="1">100</definedName>
    <definedName name="solver_tim" localSheetId="1" hidden="1">2147483647</definedName>
    <definedName name="solver_tol" localSheetId="1" hidden="1">0.01</definedName>
    <definedName name="solver_typ" localSheetId="1" hidden="1">3</definedName>
    <definedName name="solver_val" localSheetId="1" hidden="1">0</definedName>
    <definedName name="solver_ver" localSheetId="1" hidden="1">3</definedName>
    <definedName name="standard">#REF!</definedName>
    <definedName name="TITLE">#REF!</definedName>
    <definedName name="WHICH">#REF!</definedName>
    <definedName name="WHOLE">#REF!</definedName>
    <definedName name="XC">#REF!</definedName>
    <definedName name="XF">#REF!</definedName>
    <definedName name="XP">#REF!</definedName>
    <definedName name="XXC">#REF!</definedName>
    <definedName name="XXF">#REF!</definedName>
    <definedName name="XXP">#REF!</definedName>
    <definedName name="XYC">#REF!</definedName>
    <definedName name="XYF">#REF!</definedName>
    <definedName name="XYP">#REF!</definedName>
    <definedName name="YC">#REF!</definedName>
    <definedName name="YF">#REF!</definedName>
    <definedName name="YP">#REF!</definedName>
    <definedName name="YYC">#REF!</definedName>
    <definedName name="YYF">#REF!</definedName>
    <definedName name="YYP">#REF!</definedName>
  </definedNames>
  <calcPr calcId="171027"/>
</workbook>
</file>

<file path=xl/calcChain.xml><?xml version="1.0" encoding="utf-8"?>
<calcChain xmlns="http://schemas.openxmlformats.org/spreadsheetml/2006/main">
  <c r="CM19" i="2" l="1"/>
  <c r="A2" i="2"/>
  <c r="AZ25" i="2"/>
  <c r="CL11" i="2"/>
  <c r="CM11" i="2" s="1"/>
  <c r="CI82" i="2"/>
  <c r="CI81" i="2"/>
  <c r="CI80" i="2"/>
  <c r="CI79" i="2"/>
  <c r="CI78" i="2"/>
  <c r="CI77" i="2"/>
  <c r="CI76" i="2"/>
  <c r="CI75" i="2"/>
  <c r="CI74" i="2"/>
  <c r="CL10" i="2" s="1"/>
  <c r="CI73" i="2"/>
  <c r="CI72" i="2"/>
  <c r="CI71" i="2"/>
  <c r="CI70" i="2"/>
  <c r="CI69" i="2"/>
  <c r="CI68" i="2"/>
  <c r="CI67" i="2"/>
  <c r="CI66" i="2"/>
  <c r="CI65" i="2"/>
  <c r="CI64" i="2"/>
  <c r="CL9" i="2"/>
  <c r="CM9" i="2" s="1"/>
  <c r="CP8" i="2" s="1"/>
  <c r="CS8" i="2" s="1"/>
  <c r="CI63" i="2"/>
  <c r="CI62" i="2"/>
  <c r="CI61" i="2"/>
  <c r="CI60" i="2"/>
  <c r="CI59" i="2"/>
  <c r="CI58" i="2"/>
  <c r="CI57" i="2"/>
  <c r="CI56" i="2"/>
  <c r="CI55" i="2"/>
  <c r="CI54" i="2"/>
  <c r="CL8" i="2"/>
  <c r="CN8" i="2" s="1"/>
  <c r="CI53" i="2"/>
  <c r="CI52" i="2"/>
  <c r="CI51" i="2"/>
  <c r="CI50" i="2"/>
  <c r="CI49" i="2"/>
  <c r="CI48" i="2"/>
  <c r="CI47" i="2"/>
  <c r="CI46" i="2"/>
  <c r="CI45" i="2"/>
  <c r="CI44" i="2"/>
  <c r="CL7" i="2"/>
  <c r="CN6" i="2" s="1"/>
  <c r="CI43" i="2"/>
  <c r="CI42" i="2"/>
  <c r="CI41" i="2"/>
  <c r="CI40" i="2"/>
  <c r="CI39" i="2"/>
  <c r="CI38" i="2"/>
  <c r="CI37" i="2"/>
  <c r="CI36" i="2"/>
  <c r="CI35" i="2"/>
  <c r="CI34" i="2"/>
  <c r="CI33" i="2"/>
  <c r="CI32" i="2"/>
  <c r="CI31" i="2"/>
  <c r="CI30" i="2"/>
  <c r="CI29" i="2"/>
  <c r="CI28" i="2"/>
  <c r="CI27" i="2"/>
  <c r="CI26" i="2"/>
  <c r="CI25" i="2"/>
  <c r="CI24" i="2"/>
  <c r="CL5" i="2" s="1"/>
  <c r="CI23" i="2"/>
  <c r="CI22" i="2"/>
  <c r="CI21" i="2"/>
  <c r="CI20" i="2"/>
  <c r="CI19" i="2"/>
  <c r="CI18" i="2"/>
  <c r="CI17" i="2"/>
  <c r="CI16" i="2"/>
  <c r="CI15" i="2"/>
  <c r="CI14" i="2"/>
  <c r="CL4" i="2"/>
  <c r="CI13" i="2"/>
  <c r="CI12" i="2"/>
  <c r="CI11" i="2"/>
  <c r="CI10" i="2"/>
  <c r="CI9" i="2"/>
  <c r="CI8" i="2"/>
  <c r="CI7" i="2"/>
  <c r="CI6" i="2"/>
  <c r="CN10" i="2"/>
  <c r="CO10" i="2" s="1"/>
  <c r="CL6" i="2"/>
  <c r="CO6" i="2"/>
  <c r="CO8" i="2"/>
  <c r="CM8" i="2"/>
  <c r="CM6" i="2"/>
  <c r="B5" i="2"/>
  <c r="B4" i="2"/>
  <c r="B3" i="2"/>
  <c r="B10" i="2"/>
  <c r="B9" i="2"/>
  <c r="C10" i="2"/>
  <c r="E10" i="2"/>
  <c r="D10" i="2"/>
  <c r="F10" i="2"/>
  <c r="B6" i="2"/>
  <c r="CB1" i="2" s="1"/>
  <c r="B36" i="2"/>
  <c r="B11" i="2"/>
  <c r="B35" i="2" l="1"/>
  <c r="H22" i="2"/>
  <c r="D9" i="2"/>
  <c r="F9" i="2"/>
  <c r="E9" i="2"/>
  <c r="C9" i="2"/>
  <c r="CN5" i="2"/>
  <c r="CO5" i="2" s="1"/>
  <c r="CM5" i="2"/>
  <c r="CR8" i="2"/>
  <c r="CN4" i="2"/>
  <c r="CO4" i="2" s="1"/>
  <c r="CM4" i="2"/>
  <c r="CM10" i="2"/>
  <c r="CP9" i="2" s="1"/>
  <c r="CS9" i="2" s="1"/>
  <c r="CN9" i="2"/>
  <c r="CO9" i="2" s="1"/>
  <c r="CN7" i="2"/>
  <c r="CO7" i="2" s="1"/>
  <c r="CM7" i="2"/>
  <c r="CQ5" i="2" l="1"/>
  <c r="CP4" i="2"/>
  <c r="CS4" i="2" s="1"/>
  <c r="CP5" i="2"/>
  <c r="CS5" i="2" s="1"/>
  <c r="AK24" i="2" s="1"/>
  <c r="CQ7" i="2"/>
  <c r="CQ6" i="2"/>
  <c r="CP6" i="2"/>
  <c r="CR5" i="2"/>
  <c r="B34" i="2"/>
  <c r="H21" i="2"/>
  <c r="J22" i="2"/>
  <c r="P22" i="2" s="1"/>
  <c r="AJ22" i="2"/>
  <c r="I22" i="2"/>
  <c r="O22" i="2" s="1"/>
  <c r="K22" i="2"/>
  <c r="Q22" i="2" s="1"/>
  <c r="L22" i="2"/>
  <c r="R22" i="2" s="1"/>
  <c r="N22" i="2"/>
  <c r="T22" i="2" s="1"/>
  <c r="Z22" i="2" s="1"/>
  <c r="AE22" i="2" s="1"/>
  <c r="AZ22" i="2"/>
  <c r="CR4" i="2"/>
  <c r="CR9" i="2"/>
  <c r="CP7" i="2"/>
  <c r="CS7" i="2" s="1"/>
  <c r="AM24" i="2" s="1"/>
  <c r="CP10" i="2"/>
  <c r="X22" i="2" l="1"/>
  <c r="V22" i="2"/>
  <c r="U22" i="2"/>
  <c r="AA22" i="2" s="1"/>
  <c r="AF22" i="2" s="1"/>
  <c r="AK22" i="2" s="1"/>
  <c r="W22" i="2"/>
  <c r="B33" i="2"/>
  <c r="H20" i="2"/>
  <c r="CS6" i="2"/>
  <c r="AL24" i="2" s="1"/>
  <c r="CR6" i="2"/>
  <c r="CS10" i="2"/>
  <c r="CR10" i="2"/>
  <c r="CR7" i="2"/>
  <c r="J21" i="2"/>
  <c r="P21" i="2" s="1"/>
  <c r="AJ21" i="2"/>
  <c r="L21" i="2"/>
  <c r="R21" i="2" s="1"/>
  <c r="N21" i="2"/>
  <c r="T21" i="2" s="1"/>
  <c r="Z21" i="2" s="1"/>
  <c r="AE21" i="2" s="1"/>
  <c r="I21" i="2"/>
  <c r="O21" i="2" s="1"/>
  <c r="K21" i="2"/>
  <c r="Q21" i="2" s="1"/>
  <c r="AZ21" i="2"/>
  <c r="CQ12" i="2"/>
  <c r="AJ20" i="2" l="1"/>
  <c r="I20" i="2"/>
  <c r="O20" i="2" s="1"/>
  <c r="K20" i="2"/>
  <c r="Q20" i="2" s="1"/>
  <c r="J20" i="2"/>
  <c r="P20" i="2" s="1"/>
  <c r="L20" i="2"/>
  <c r="R20" i="2" s="1"/>
  <c r="N20" i="2"/>
  <c r="T20" i="2" s="1"/>
  <c r="Z20" i="2" s="1"/>
  <c r="AE20" i="2" s="1"/>
  <c r="AZ20" i="2"/>
  <c r="AB22" i="2"/>
  <c r="AG22" i="2" s="1"/>
  <c r="AL22" i="2" s="1"/>
  <c r="AP22" i="2" s="1"/>
  <c r="V21" i="2"/>
  <c r="W21" i="2"/>
  <c r="U21" i="2"/>
  <c r="X21" i="2"/>
  <c r="AC22" i="2"/>
  <c r="AH22" i="2" s="1"/>
  <c r="AM22" i="2" s="1"/>
  <c r="B32" i="2"/>
  <c r="H19" i="2"/>
  <c r="AS22" i="2" l="1"/>
  <c r="AO22" i="2"/>
  <c r="AR22" i="2" s="1"/>
  <c r="X20" i="2"/>
  <c r="V20" i="2"/>
  <c r="U20" i="2"/>
  <c r="W20" i="2"/>
  <c r="L19" i="2"/>
  <c r="R19" i="2" s="1"/>
  <c r="AJ19" i="2"/>
  <c r="K19" i="2"/>
  <c r="Q19" i="2" s="1"/>
  <c r="I19" i="2"/>
  <c r="O19" i="2" s="1"/>
  <c r="N19" i="2"/>
  <c r="T19" i="2" s="1"/>
  <c r="Z19" i="2" s="1"/>
  <c r="AE19" i="2" s="1"/>
  <c r="J19" i="2"/>
  <c r="P19" i="2" s="1"/>
  <c r="AZ19" i="2"/>
  <c r="AB21" i="2"/>
  <c r="AG21" i="2" s="1"/>
  <c r="AL21" i="2" s="1"/>
  <c r="H18" i="2"/>
  <c r="B31" i="2"/>
  <c r="AA21" i="2"/>
  <c r="AF21" i="2" s="1"/>
  <c r="AK21" i="2" s="1"/>
  <c r="AC21" i="2"/>
  <c r="AH21" i="2" s="1"/>
  <c r="AM21" i="2" s="1"/>
  <c r="AP21" i="2" l="1"/>
  <c r="AS21" i="2" s="1"/>
  <c r="AB20" i="2"/>
  <c r="AG20" i="2" s="1"/>
  <c r="AL20" i="2" s="1"/>
  <c r="B30" i="2"/>
  <c r="H17" i="2"/>
  <c r="AV22" i="2"/>
  <c r="AU22" i="2"/>
  <c r="AW22" i="2"/>
  <c r="U19" i="2"/>
  <c r="X19" i="2"/>
  <c r="W19" i="2"/>
  <c r="V19" i="2"/>
  <c r="AC20" i="2"/>
  <c r="AH20" i="2" s="1"/>
  <c r="AM20" i="2" s="1"/>
  <c r="I18" i="2"/>
  <c r="O18" i="2" s="1"/>
  <c r="N18" i="2"/>
  <c r="T18" i="2" s="1"/>
  <c r="Z18" i="2" s="1"/>
  <c r="AE18" i="2" s="1"/>
  <c r="AZ18" i="2"/>
  <c r="AZ31" i="2" s="1"/>
  <c r="J18" i="2"/>
  <c r="P18" i="2" s="1"/>
  <c r="L18" i="2"/>
  <c r="R18" i="2" s="1"/>
  <c r="AJ18" i="2"/>
  <c r="K18" i="2"/>
  <c r="Q18" i="2" s="1"/>
  <c r="AA20" i="2"/>
  <c r="AF20" i="2" s="1"/>
  <c r="AK20" i="2" s="1"/>
  <c r="AA19" i="2" l="1"/>
  <c r="AF19" i="2" s="1"/>
  <c r="AK19" i="2" s="1"/>
  <c r="AZ17" i="2"/>
  <c r="N17" i="2"/>
  <c r="T17" i="2" s="1"/>
  <c r="Z17" i="2" s="1"/>
  <c r="AE17" i="2" s="1"/>
  <c r="K17" i="2"/>
  <c r="Q17" i="2" s="1"/>
  <c r="J17" i="2"/>
  <c r="P17" i="2" s="1"/>
  <c r="I17" i="2"/>
  <c r="O17" i="2" s="1"/>
  <c r="AJ17" i="2"/>
  <c r="L17" i="2"/>
  <c r="R17" i="2" s="1"/>
  <c r="AP20" i="2"/>
  <c r="AS20" i="2" s="1"/>
  <c r="AB19" i="2"/>
  <c r="AG19" i="2" s="1"/>
  <c r="AL19" i="2" s="1"/>
  <c r="H16" i="2"/>
  <c r="B29" i="2"/>
  <c r="V18" i="2"/>
  <c r="X18" i="2"/>
  <c r="W18" i="2"/>
  <c r="U18" i="2"/>
  <c r="AC19" i="2"/>
  <c r="AH19" i="2" s="1"/>
  <c r="AM19" i="2" s="1"/>
  <c r="AX22" i="2"/>
  <c r="AO21" i="2"/>
  <c r="AR21" i="2" s="1"/>
  <c r="AV21" i="2" l="1"/>
  <c r="AU21" i="2"/>
  <c r="AX21" i="2" s="1"/>
  <c r="AW21" i="2"/>
  <c r="AA18" i="2"/>
  <c r="AF18" i="2" s="1"/>
  <c r="AK18" i="2" s="1"/>
  <c r="H15" i="2"/>
  <c r="B28" i="2"/>
  <c r="BU22" i="2"/>
  <c r="BY22" i="2"/>
  <c r="BG22" i="2"/>
  <c r="BO22" i="2"/>
  <c r="BJ22" i="2"/>
  <c r="BI22" i="2"/>
  <c r="BX22" i="2"/>
  <c r="BP22" i="2"/>
  <c r="BV22" i="2"/>
  <c r="BM22" i="2"/>
  <c r="BR22" i="2"/>
  <c r="BD22" i="2"/>
  <c r="BK22" i="2"/>
  <c r="BQ22" i="2"/>
  <c r="BC22" i="2"/>
  <c r="BB22" i="2"/>
  <c r="BN22" i="2"/>
  <c r="BW22" i="2"/>
  <c r="BF22" i="2"/>
  <c r="BH22" i="2"/>
  <c r="BS22" i="2"/>
  <c r="BL22" i="2"/>
  <c r="BE22" i="2"/>
  <c r="BT22" i="2"/>
  <c r="V17" i="2"/>
  <c r="W17" i="2"/>
  <c r="U17" i="2"/>
  <c r="X17" i="2"/>
  <c r="AB18" i="2"/>
  <c r="AG18" i="2" s="1"/>
  <c r="AL18" i="2" s="1"/>
  <c r="AC18" i="2"/>
  <c r="AH18" i="2" s="1"/>
  <c r="AM18" i="2" s="1"/>
  <c r="L16" i="2"/>
  <c r="R16" i="2" s="1"/>
  <c r="AJ16" i="2"/>
  <c r="J16" i="2"/>
  <c r="P16" i="2" s="1"/>
  <c r="I16" i="2"/>
  <c r="O16" i="2" s="1"/>
  <c r="N16" i="2"/>
  <c r="T16" i="2" s="1"/>
  <c r="Z16" i="2" s="1"/>
  <c r="AE16" i="2" s="1"/>
  <c r="K16" i="2"/>
  <c r="Q16" i="2" s="1"/>
  <c r="AZ16" i="2"/>
  <c r="AO20" i="2"/>
  <c r="AR20" i="2" s="1"/>
  <c r="AP19" i="2"/>
  <c r="AS19" i="2" s="1"/>
  <c r="AU20" i="2" l="1"/>
  <c r="AW20" i="2"/>
  <c r="AV20" i="2"/>
  <c r="AB17" i="2"/>
  <c r="AG17" i="2" s="1"/>
  <c r="AL17" i="2" s="1"/>
  <c r="X16" i="2"/>
  <c r="V16" i="2"/>
  <c r="U16" i="2"/>
  <c r="AA16" i="2" s="1"/>
  <c r="AF16" i="2" s="1"/>
  <c r="AK16" i="2" s="1"/>
  <c r="W16" i="2"/>
  <c r="B27" i="2"/>
  <c r="H14" i="2"/>
  <c r="BQ21" i="2"/>
  <c r="BX21" i="2"/>
  <c r="BM21" i="2"/>
  <c r="BR21" i="2"/>
  <c r="BT21" i="2"/>
  <c r="BE21" i="2"/>
  <c r="BS21" i="2"/>
  <c r="BP21" i="2"/>
  <c r="BH21" i="2"/>
  <c r="BL21" i="2"/>
  <c r="BW21" i="2"/>
  <c r="BN21" i="2"/>
  <c r="BO21" i="2"/>
  <c r="BJ21" i="2"/>
  <c r="BV21" i="2"/>
  <c r="BC21" i="2"/>
  <c r="BI21" i="2"/>
  <c r="BK21" i="2"/>
  <c r="BB21" i="2"/>
  <c r="BU21" i="2"/>
  <c r="BD21" i="2"/>
  <c r="BG21" i="2"/>
  <c r="BF21" i="2"/>
  <c r="BY21" i="2"/>
  <c r="AC17" i="2"/>
  <c r="AH17" i="2" s="1"/>
  <c r="AM17" i="2" s="1"/>
  <c r="AP18" i="2"/>
  <c r="AS18" i="2" s="1"/>
  <c r="AO19" i="2"/>
  <c r="AR19" i="2" s="1"/>
  <c r="AA17" i="2"/>
  <c r="AF17" i="2" s="1"/>
  <c r="AK17" i="2" s="1"/>
  <c r="AZ15" i="2"/>
  <c r="J15" i="2"/>
  <c r="P15" i="2" s="1"/>
  <c r="L15" i="2"/>
  <c r="R15" i="2" s="1"/>
  <c r="I15" i="2"/>
  <c r="O15" i="2" s="1"/>
  <c r="K15" i="2"/>
  <c r="Q15" i="2" s="1"/>
  <c r="AJ15" i="2"/>
  <c r="N15" i="2"/>
  <c r="T15" i="2" s="1"/>
  <c r="Z15" i="2" s="1"/>
  <c r="AE15" i="2" s="1"/>
  <c r="W15" i="2" l="1"/>
  <c r="U15" i="2"/>
  <c r="V15" i="2"/>
  <c r="X15" i="2"/>
  <c r="AP17" i="2"/>
  <c r="AS17" i="2" s="1"/>
  <c r="AO17" i="2"/>
  <c r="AR17" i="2" s="1"/>
  <c r="AB16" i="2"/>
  <c r="AG16" i="2" s="1"/>
  <c r="AL16" i="2" s="1"/>
  <c r="B26" i="2"/>
  <c r="H13" i="2"/>
  <c r="AU19" i="2"/>
  <c r="AX19" i="2" s="1"/>
  <c r="AV19" i="2"/>
  <c r="AW19" i="2"/>
  <c r="AP16" i="2"/>
  <c r="AS16" i="2" s="1"/>
  <c r="AO18" i="2"/>
  <c r="AR18" i="2" s="1"/>
  <c r="AZ14" i="2"/>
  <c r="I14" i="2"/>
  <c r="O14" i="2" s="1"/>
  <c r="N14" i="2"/>
  <c r="T14" i="2" s="1"/>
  <c r="Z14" i="2" s="1"/>
  <c r="AE14" i="2" s="1"/>
  <c r="AJ14" i="2"/>
  <c r="L14" i="2"/>
  <c r="R14" i="2" s="1"/>
  <c r="J14" i="2"/>
  <c r="P14" i="2" s="1"/>
  <c r="K14" i="2"/>
  <c r="Q14" i="2" s="1"/>
  <c r="AC16" i="2"/>
  <c r="AH16" i="2" s="1"/>
  <c r="AM16" i="2" s="1"/>
  <c r="AX20" i="2"/>
  <c r="BK19" i="2" l="1"/>
  <c r="BW19" i="2"/>
  <c r="BG19" i="2"/>
  <c r="BL19" i="2"/>
  <c r="BD19" i="2"/>
  <c r="BB19" i="2"/>
  <c r="BP19" i="2"/>
  <c r="BJ19" i="2"/>
  <c r="BT19" i="2"/>
  <c r="BN19" i="2"/>
  <c r="BY19" i="2"/>
  <c r="BS19" i="2"/>
  <c r="BE19" i="2"/>
  <c r="BV19" i="2"/>
  <c r="BO19" i="2"/>
  <c r="BU19" i="2"/>
  <c r="BC19" i="2"/>
  <c r="BM19" i="2"/>
  <c r="BH19" i="2"/>
  <c r="BX19" i="2"/>
  <c r="BF19" i="2"/>
  <c r="BR19" i="2"/>
  <c r="BQ19" i="2"/>
  <c r="BI19" i="2"/>
  <c r="K13" i="2"/>
  <c r="Q13" i="2" s="1"/>
  <c r="AZ13" i="2"/>
  <c r="AZ30" i="2" s="1"/>
  <c r="J13" i="2"/>
  <c r="P13" i="2" s="1"/>
  <c r="L13" i="2"/>
  <c r="R13" i="2" s="1"/>
  <c r="I13" i="2"/>
  <c r="O13" i="2" s="1"/>
  <c r="N13" i="2"/>
  <c r="T13" i="2" s="1"/>
  <c r="Z13" i="2" s="1"/>
  <c r="AE13" i="2" s="1"/>
  <c r="AJ13" i="2"/>
  <c r="AU17" i="2"/>
  <c r="AX17" i="2" s="1"/>
  <c r="AW17" i="2"/>
  <c r="AV17" i="2"/>
  <c r="AA15" i="2"/>
  <c r="AF15" i="2" s="1"/>
  <c r="AK15" i="2" s="1"/>
  <c r="BI20" i="2"/>
  <c r="BB20" i="2"/>
  <c r="BA31" i="2" s="1"/>
  <c r="BW20" i="2"/>
  <c r="BS20" i="2"/>
  <c r="BX20" i="2"/>
  <c r="BD20" i="2"/>
  <c r="BO20" i="2"/>
  <c r="BV20" i="2"/>
  <c r="BN20" i="2"/>
  <c r="BU20" i="2"/>
  <c r="BP20" i="2"/>
  <c r="BK20" i="2"/>
  <c r="BG20" i="2"/>
  <c r="BE20" i="2"/>
  <c r="BT20" i="2"/>
  <c r="BJ20" i="2"/>
  <c r="BY20" i="2"/>
  <c r="BQ20" i="2"/>
  <c r="BC20" i="2"/>
  <c r="BM20" i="2"/>
  <c r="BL20" i="2"/>
  <c r="BR20" i="2"/>
  <c r="BF20" i="2"/>
  <c r="BH20" i="2"/>
  <c r="AB15" i="2"/>
  <c r="AG15" i="2" s="1"/>
  <c r="AL15" i="2" s="1"/>
  <c r="AV18" i="2"/>
  <c r="AW18" i="2"/>
  <c r="AU18" i="2"/>
  <c r="AX18" i="2" s="1"/>
  <c r="B25" i="2"/>
  <c r="H12" i="2"/>
  <c r="AC15" i="2"/>
  <c r="AH15" i="2" s="1"/>
  <c r="AM15" i="2" s="1"/>
  <c r="U14" i="2"/>
  <c r="X14" i="2"/>
  <c r="W14" i="2"/>
  <c r="V14" i="2"/>
  <c r="AO16" i="2"/>
  <c r="AR16" i="2" s="1"/>
  <c r="AC14" i="2" l="1"/>
  <c r="AH14" i="2" s="1"/>
  <c r="AM14" i="2" s="1"/>
  <c r="AP15" i="2"/>
  <c r="AS15" i="2" s="1"/>
  <c r="AO15" i="2"/>
  <c r="AR15" i="2" s="1"/>
  <c r="BH18" i="2"/>
  <c r="BU18" i="2"/>
  <c r="BX18" i="2"/>
  <c r="BV18" i="2"/>
  <c r="BP18" i="2"/>
  <c r="BM18" i="2"/>
  <c r="BG18" i="2"/>
  <c r="BR18" i="2"/>
  <c r="BL18" i="2"/>
  <c r="BY18" i="2"/>
  <c r="BF18" i="2"/>
  <c r="BW18" i="2"/>
  <c r="BT18" i="2"/>
  <c r="BO18" i="2"/>
  <c r="BK18" i="2"/>
  <c r="BC18" i="2"/>
  <c r="BQ18" i="2"/>
  <c r="BE18" i="2"/>
  <c r="BN18" i="2"/>
  <c r="BJ18" i="2"/>
  <c r="BS18" i="2"/>
  <c r="BD18" i="2"/>
  <c r="BB18" i="2"/>
  <c r="BI18" i="2"/>
  <c r="AJ12" i="2"/>
  <c r="N12" i="2"/>
  <c r="T12" i="2" s="1"/>
  <c r="Z12" i="2" s="1"/>
  <c r="AE12" i="2" s="1"/>
  <c r="AZ12" i="2"/>
  <c r="I12" i="2"/>
  <c r="O12" i="2" s="1"/>
  <c r="K12" i="2"/>
  <c r="Q12" i="2" s="1"/>
  <c r="L12" i="2"/>
  <c r="R12" i="2" s="1"/>
  <c r="J12" i="2"/>
  <c r="P12" i="2" s="1"/>
  <c r="AB14" i="2"/>
  <c r="AG14" i="2" s="1"/>
  <c r="AL14" i="2" s="1"/>
  <c r="BY17" i="2"/>
  <c r="BT17" i="2"/>
  <c r="BO17" i="2"/>
  <c r="BH17" i="2"/>
  <c r="BI17" i="2"/>
  <c r="BD17" i="2"/>
  <c r="BU17" i="2"/>
  <c r="BM17" i="2"/>
  <c r="BJ17" i="2"/>
  <c r="BB17" i="2"/>
  <c r="BR17" i="2"/>
  <c r="BP17" i="2"/>
  <c r="BN17" i="2"/>
  <c r="BS17" i="2"/>
  <c r="BQ17" i="2"/>
  <c r="BG17" i="2"/>
  <c r="BV17" i="2"/>
  <c r="BL17" i="2"/>
  <c r="BK17" i="2"/>
  <c r="BW17" i="2"/>
  <c r="BC17" i="2"/>
  <c r="BF17" i="2"/>
  <c r="BX17" i="2"/>
  <c r="BE17" i="2"/>
  <c r="AU16" i="2"/>
  <c r="AV16" i="2"/>
  <c r="AW16" i="2"/>
  <c r="AA14" i="2"/>
  <c r="AF14" i="2" s="1"/>
  <c r="AK14" i="2" s="1"/>
  <c r="B24" i="2"/>
  <c r="H11" i="2"/>
  <c r="U13" i="2"/>
  <c r="X13" i="2"/>
  <c r="W13" i="2"/>
  <c r="V13" i="2"/>
  <c r="AB13" i="2" l="1"/>
  <c r="AG13" i="2" s="1"/>
  <c r="AL13" i="2" s="1"/>
  <c r="AU15" i="2"/>
  <c r="AW15" i="2"/>
  <c r="AV15" i="2"/>
  <c r="B23" i="2"/>
  <c r="H10" i="2"/>
  <c r="BB31" i="2"/>
  <c r="BD31" i="2"/>
  <c r="BC31" i="2"/>
  <c r="AX16" i="2"/>
  <c r="AO14" i="2"/>
  <c r="AR14" i="2" s="1"/>
  <c r="AP14" i="2"/>
  <c r="AS14" i="2" s="1"/>
  <c r="AJ11" i="2"/>
  <c r="K11" i="2"/>
  <c r="Q11" i="2" s="1"/>
  <c r="N11" i="2"/>
  <c r="T11" i="2" s="1"/>
  <c r="Z11" i="2" s="1"/>
  <c r="AE11" i="2" s="1"/>
  <c r="L11" i="2"/>
  <c r="R11" i="2" s="1"/>
  <c r="J11" i="2"/>
  <c r="P11" i="2" s="1"/>
  <c r="AZ11" i="2"/>
  <c r="I11" i="2"/>
  <c r="O11" i="2" s="1"/>
  <c r="AC13" i="2"/>
  <c r="AH13" i="2" s="1"/>
  <c r="AM13" i="2" s="1"/>
  <c r="AA13" i="2"/>
  <c r="AF13" i="2" s="1"/>
  <c r="AK13" i="2" s="1"/>
  <c r="X12" i="2"/>
  <c r="U12" i="2"/>
  <c r="W12" i="2"/>
  <c r="V12" i="2"/>
  <c r="BE31" i="2"/>
  <c r="AP13" i="2" l="1"/>
  <c r="AS13" i="2" s="1"/>
  <c r="AC12" i="2"/>
  <c r="AH12" i="2" s="1"/>
  <c r="AM12" i="2" s="1"/>
  <c r="BE16" i="2"/>
  <c r="BY16" i="2"/>
  <c r="BJ16" i="2"/>
  <c r="BN16" i="2"/>
  <c r="BO16" i="2"/>
  <c r="BG16" i="2"/>
  <c r="BF16" i="2"/>
  <c r="BW16" i="2"/>
  <c r="BK16" i="2"/>
  <c r="BX16" i="2"/>
  <c r="BV16" i="2"/>
  <c r="BM16" i="2"/>
  <c r="BS16" i="2"/>
  <c r="BR16" i="2"/>
  <c r="BL16" i="2"/>
  <c r="BT16" i="2"/>
  <c r="BH16" i="2"/>
  <c r="BP16" i="2"/>
  <c r="BB16" i="2"/>
  <c r="BC16" i="2"/>
  <c r="BD16" i="2"/>
  <c r="BI16" i="2"/>
  <c r="BU16" i="2"/>
  <c r="BQ16" i="2"/>
  <c r="AJ10" i="2"/>
  <c r="J10" i="2"/>
  <c r="P10" i="2" s="1"/>
  <c r="I10" i="2"/>
  <c r="O10" i="2" s="1"/>
  <c r="K10" i="2"/>
  <c r="Q10" i="2" s="1"/>
  <c r="N10" i="2"/>
  <c r="T10" i="2" s="1"/>
  <c r="Z10" i="2" s="1"/>
  <c r="AE10" i="2" s="1"/>
  <c r="L10" i="2"/>
  <c r="R10" i="2" s="1"/>
  <c r="AZ10" i="2"/>
  <c r="AX15" i="2"/>
  <c r="AA12" i="2"/>
  <c r="AF12" i="2" s="1"/>
  <c r="AK12" i="2" s="1"/>
  <c r="B22" i="2"/>
  <c r="H9" i="2"/>
  <c r="AB12" i="2"/>
  <c r="AG12" i="2" s="1"/>
  <c r="AL12" i="2" s="1"/>
  <c r="U11" i="2"/>
  <c r="AA11" i="2" s="1"/>
  <c r="AF11" i="2" s="1"/>
  <c r="AK11" i="2" s="1"/>
  <c r="V11" i="2"/>
  <c r="X11" i="2"/>
  <c r="W11" i="2"/>
  <c r="AW14" i="2"/>
  <c r="AV14" i="2"/>
  <c r="AU14" i="2"/>
  <c r="I9" i="2" l="1"/>
  <c r="O9" i="2" s="1"/>
  <c r="K9" i="2"/>
  <c r="Q9" i="2" s="1"/>
  <c r="AZ9" i="2"/>
  <c r="N9" i="2"/>
  <c r="T9" i="2" s="1"/>
  <c r="Z9" i="2" s="1"/>
  <c r="AE9" i="2" s="1"/>
  <c r="AJ9" i="2"/>
  <c r="J9" i="2"/>
  <c r="P9" i="2" s="1"/>
  <c r="L9" i="2"/>
  <c r="R9" i="2" s="1"/>
  <c r="AC11" i="2"/>
  <c r="AH11" i="2" s="1"/>
  <c r="AM11" i="2" s="1"/>
  <c r="B21" i="2"/>
  <c r="H8" i="2"/>
  <c r="AX14" i="2"/>
  <c r="AO12" i="2"/>
  <c r="AR12" i="2" s="1"/>
  <c r="AP12" i="2"/>
  <c r="AS12" i="2" s="1"/>
  <c r="X10" i="2"/>
  <c r="W10" i="2"/>
  <c r="V10" i="2"/>
  <c r="U10" i="2"/>
  <c r="AB11" i="2"/>
  <c r="AG11" i="2" s="1"/>
  <c r="AL11" i="2" s="1"/>
  <c r="AP11" i="2" s="1"/>
  <c r="BK15" i="2"/>
  <c r="BY15" i="2"/>
  <c r="BR15" i="2"/>
  <c r="BC15" i="2"/>
  <c r="BX15" i="2"/>
  <c r="BB15" i="2"/>
  <c r="BA30" i="2" s="1"/>
  <c r="CB3" i="2" s="1"/>
  <c r="BL15" i="2"/>
  <c r="BJ15" i="2"/>
  <c r="BF15" i="2"/>
  <c r="BS15" i="2"/>
  <c r="BQ15" i="2"/>
  <c r="BV15" i="2"/>
  <c r="BD15" i="2"/>
  <c r="BI15" i="2"/>
  <c r="BH15" i="2"/>
  <c r="BN15" i="2"/>
  <c r="BO15" i="2"/>
  <c r="BP15" i="2"/>
  <c r="BG15" i="2"/>
  <c r="BE15" i="2"/>
  <c r="BW15" i="2"/>
  <c r="BU15" i="2"/>
  <c r="BM15" i="2"/>
  <c r="BT15" i="2"/>
  <c r="AO13" i="2"/>
  <c r="AR13" i="2" s="1"/>
  <c r="AS11" i="2" l="1"/>
  <c r="AO11" i="2"/>
  <c r="AR11" i="2" s="1"/>
  <c r="AC10" i="2"/>
  <c r="AH10" i="2" s="1"/>
  <c r="AM10" i="2" s="1"/>
  <c r="U9" i="2"/>
  <c r="V9" i="2"/>
  <c r="X9" i="2"/>
  <c r="W9" i="2"/>
  <c r="AV12" i="2"/>
  <c r="AU12" i="2"/>
  <c r="AW12" i="2"/>
  <c r="B20" i="2"/>
  <c r="H7" i="2"/>
  <c r="BN14" i="2"/>
  <c r="BT14" i="2"/>
  <c r="BO14" i="2"/>
  <c r="BQ14" i="2"/>
  <c r="BV14" i="2"/>
  <c r="BK14" i="2"/>
  <c r="BW14" i="2"/>
  <c r="BX14" i="2"/>
  <c r="BE14" i="2"/>
  <c r="BG14" i="2"/>
  <c r="BF14" i="2"/>
  <c r="BL14" i="2"/>
  <c r="BM14" i="2"/>
  <c r="BH14" i="2"/>
  <c r="BD14" i="2"/>
  <c r="BS14" i="2"/>
  <c r="BI14" i="2"/>
  <c r="BR14" i="2"/>
  <c r="BC14" i="2"/>
  <c r="BY14" i="2"/>
  <c r="BB14" i="2"/>
  <c r="BU14" i="2"/>
  <c r="BJ14" i="2"/>
  <c r="BP14" i="2"/>
  <c r="AU13" i="2"/>
  <c r="AW13" i="2"/>
  <c r="AV13" i="2"/>
  <c r="AB10" i="2"/>
  <c r="AG10" i="2" s="1"/>
  <c r="AL10" i="2" s="1"/>
  <c r="CB6" i="2"/>
  <c r="AA10" i="2"/>
  <c r="AF10" i="2" s="1"/>
  <c r="AK10" i="2" s="1"/>
  <c r="L8" i="2"/>
  <c r="R8" i="2" s="1"/>
  <c r="AZ8" i="2"/>
  <c r="AZ29" i="2" s="1"/>
  <c r="K8" i="2"/>
  <c r="Q8" i="2" s="1"/>
  <c r="I8" i="2"/>
  <c r="O8" i="2" s="1"/>
  <c r="AJ8" i="2"/>
  <c r="J8" i="2"/>
  <c r="P8" i="2" s="1"/>
  <c r="N8" i="2"/>
  <c r="T8" i="2" s="1"/>
  <c r="Z8" i="2" s="1"/>
  <c r="AE8" i="2" s="1"/>
  <c r="AX13" i="2" l="1"/>
  <c r="H6" i="2"/>
  <c r="B19" i="2"/>
  <c r="AC9" i="2"/>
  <c r="AH9" i="2" s="1"/>
  <c r="AM9" i="2" s="1"/>
  <c r="U8" i="2"/>
  <c r="AA8" i="2" s="1"/>
  <c r="AF8" i="2" s="1"/>
  <c r="AK8" i="2" s="1"/>
  <c r="X8" i="2"/>
  <c r="W8" i="2"/>
  <c r="V8" i="2"/>
  <c r="AP10" i="2"/>
  <c r="AS10" i="2" s="1"/>
  <c r="AO10" i="2"/>
  <c r="AR10" i="2" s="1"/>
  <c r="AX12" i="2"/>
  <c r="AB9" i="2"/>
  <c r="AG9" i="2" s="1"/>
  <c r="AL9" i="2" s="1"/>
  <c r="AV11" i="2"/>
  <c r="AW11" i="2"/>
  <c r="AU11" i="2"/>
  <c r="J7" i="2"/>
  <c r="P7" i="2" s="1"/>
  <c r="L7" i="2"/>
  <c r="R7" i="2" s="1"/>
  <c r="AZ7" i="2"/>
  <c r="K7" i="2"/>
  <c r="Q7" i="2" s="1"/>
  <c r="AJ7" i="2"/>
  <c r="I7" i="2"/>
  <c r="O7" i="2" s="1"/>
  <c r="N7" i="2"/>
  <c r="T7" i="2" s="1"/>
  <c r="Z7" i="2" s="1"/>
  <c r="AE7" i="2" s="1"/>
  <c r="AA9" i="2"/>
  <c r="AF9" i="2" s="1"/>
  <c r="AK9" i="2" s="1"/>
  <c r="AZ6" i="2" l="1"/>
  <c r="I6" i="2"/>
  <c r="O6" i="2" s="1"/>
  <c r="AJ6" i="2"/>
  <c r="K6" i="2"/>
  <c r="Q6" i="2" s="1"/>
  <c r="N6" i="2"/>
  <c r="T6" i="2" s="1"/>
  <c r="Z6" i="2" s="1"/>
  <c r="AE6" i="2" s="1"/>
  <c r="J6" i="2"/>
  <c r="P6" i="2" s="1"/>
  <c r="L6" i="2"/>
  <c r="R6" i="2" s="1"/>
  <c r="AW10" i="2"/>
  <c r="AU10" i="2"/>
  <c r="AV10" i="2"/>
  <c r="B18" i="2"/>
  <c r="H5" i="2"/>
  <c r="AX11" i="2"/>
  <c r="AB8" i="2"/>
  <c r="AG8" i="2" s="1"/>
  <c r="AL8" i="2" s="1"/>
  <c r="AP8" i="2" s="1"/>
  <c r="V7" i="2"/>
  <c r="X7" i="2"/>
  <c r="W7" i="2"/>
  <c r="U7" i="2"/>
  <c r="AA7" i="2" s="1"/>
  <c r="AF7" i="2" s="1"/>
  <c r="AK7" i="2" s="1"/>
  <c r="AP9" i="2"/>
  <c r="AS9" i="2" s="1"/>
  <c r="BD12" i="2"/>
  <c r="BT12" i="2"/>
  <c r="BN12" i="2"/>
  <c r="BU12" i="2"/>
  <c r="BW12" i="2"/>
  <c r="BQ12" i="2"/>
  <c r="BY12" i="2"/>
  <c r="BL12" i="2"/>
  <c r="BE12" i="2"/>
  <c r="BJ12" i="2"/>
  <c r="BH12" i="2"/>
  <c r="BS12" i="2"/>
  <c r="BK12" i="2"/>
  <c r="BP12" i="2"/>
  <c r="BG12" i="2"/>
  <c r="BV12" i="2"/>
  <c r="BI12" i="2"/>
  <c r="BF12" i="2"/>
  <c r="BM12" i="2"/>
  <c r="BB12" i="2"/>
  <c r="BR12" i="2"/>
  <c r="BC12" i="2"/>
  <c r="BO12" i="2"/>
  <c r="BX12" i="2"/>
  <c r="AC8" i="2"/>
  <c r="AH8" i="2" s="1"/>
  <c r="AM8" i="2" s="1"/>
  <c r="BM13" i="2"/>
  <c r="BY13" i="2"/>
  <c r="BR13" i="2"/>
  <c r="BV13" i="2"/>
  <c r="BQ13" i="2"/>
  <c r="BK13" i="2"/>
  <c r="BN13" i="2"/>
  <c r="BP13" i="2"/>
  <c r="BB13" i="2"/>
  <c r="BT13" i="2"/>
  <c r="BE13" i="2"/>
  <c r="BX13" i="2"/>
  <c r="BI13" i="2"/>
  <c r="BG13" i="2"/>
  <c r="BH13" i="2"/>
  <c r="BU13" i="2"/>
  <c r="BC13" i="2"/>
  <c r="BO13" i="2"/>
  <c r="BD13" i="2"/>
  <c r="BJ13" i="2"/>
  <c r="BL13" i="2"/>
  <c r="BS13" i="2"/>
  <c r="BW13" i="2"/>
  <c r="BF13" i="2"/>
  <c r="AS8" i="2" l="1"/>
  <c r="AO8" i="2"/>
  <c r="AR8" i="2" s="1"/>
  <c r="V6" i="2"/>
  <c r="U6" i="2"/>
  <c r="X6" i="2"/>
  <c r="W6" i="2"/>
  <c r="BB30" i="2"/>
  <c r="AO9" i="2"/>
  <c r="AR9" i="2" s="1"/>
  <c r="AB7" i="2"/>
  <c r="AG7" i="2" s="1"/>
  <c r="AL7" i="2" s="1"/>
  <c r="AJ5" i="2"/>
  <c r="K5" i="2"/>
  <c r="Q5" i="2" s="1"/>
  <c r="J5" i="2"/>
  <c r="P5" i="2" s="1"/>
  <c r="N5" i="2"/>
  <c r="T5" i="2" s="1"/>
  <c r="Z5" i="2" s="1"/>
  <c r="AE5" i="2" s="1"/>
  <c r="I5" i="2"/>
  <c r="O5" i="2" s="1"/>
  <c r="L5" i="2"/>
  <c r="R5" i="2" s="1"/>
  <c r="AZ5" i="2"/>
  <c r="AX10" i="2"/>
  <c r="BD30" i="2"/>
  <c r="BC30" i="2"/>
  <c r="BE30" i="2"/>
  <c r="H4" i="2"/>
  <c r="B17" i="2"/>
  <c r="BC11" i="2"/>
  <c r="BV11" i="2"/>
  <c r="BD11" i="2"/>
  <c r="BU11" i="2"/>
  <c r="BF11" i="2"/>
  <c r="BT11" i="2"/>
  <c r="BM11" i="2"/>
  <c r="BO11" i="2"/>
  <c r="BX11" i="2"/>
  <c r="BE11" i="2"/>
  <c r="BW11" i="2"/>
  <c r="BJ11" i="2"/>
  <c r="BL11" i="2"/>
  <c r="BY11" i="2"/>
  <c r="BN11" i="2"/>
  <c r="BR11" i="2"/>
  <c r="BG11" i="2"/>
  <c r="BH11" i="2"/>
  <c r="BB11" i="2"/>
  <c r="BQ11" i="2"/>
  <c r="BI11" i="2"/>
  <c r="BS11" i="2"/>
  <c r="BK11" i="2"/>
  <c r="BP11" i="2"/>
  <c r="AC7" i="2"/>
  <c r="AH7" i="2" s="1"/>
  <c r="AM7" i="2" s="1"/>
  <c r="AP7" i="2" s="1"/>
  <c r="AS7" i="2" l="1"/>
  <c r="AO7" i="2"/>
  <c r="AR7" i="2" s="1"/>
  <c r="AB6" i="2"/>
  <c r="AG6" i="2" s="1"/>
  <c r="AL6" i="2" s="1"/>
  <c r="BE10" i="2"/>
  <c r="BM10" i="2"/>
  <c r="BR10" i="2"/>
  <c r="BC10" i="2"/>
  <c r="BD10" i="2"/>
  <c r="BP10" i="2"/>
  <c r="BW10" i="2"/>
  <c r="BN10" i="2"/>
  <c r="BF10" i="2"/>
  <c r="BY10" i="2"/>
  <c r="BJ10" i="2"/>
  <c r="BK10" i="2"/>
  <c r="BL10" i="2"/>
  <c r="BX10" i="2"/>
  <c r="BH10" i="2"/>
  <c r="BB10" i="2"/>
  <c r="BA29" i="2" s="1"/>
  <c r="CC3" i="2" s="1"/>
  <c r="BO10" i="2"/>
  <c r="BS10" i="2"/>
  <c r="BT10" i="2"/>
  <c r="BV10" i="2"/>
  <c r="BI10" i="2"/>
  <c r="BG10" i="2"/>
  <c r="BU10" i="2"/>
  <c r="BQ10" i="2"/>
  <c r="AC6" i="2"/>
  <c r="AH6" i="2" s="1"/>
  <c r="AM6" i="2" s="1"/>
  <c r="A1" i="4"/>
  <c r="H3" i="2"/>
  <c r="AW8" i="2"/>
  <c r="AV8" i="2"/>
  <c r="AU8" i="2"/>
  <c r="AX8" i="2" s="1"/>
  <c r="U5" i="2"/>
  <c r="V5" i="2"/>
  <c r="X5" i="2"/>
  <c r="W5" i="2"/>
  <c r="J4" i="2"/>
  <c r="P4" i="2" s="1"/>
  <c r="AZ4" i="2"/>
  <c r="K4" i="2"/>
  <c r="Q4" i="2" s="1"/>
  <c r="AJ4" i="2"/>
  <c r="L4" i="2"/>
  <c r="R4" i="2" s="1"/>
  <c r="I4" i="2"/>
  <c r="O4" i="2" s="1"/>
  <c r="N4" i="2"/>
  <c r="T4" i="2" s="1"/>
  <c r="Z4" i="2" s="1"/>
  <c r="AE4" i="2" s="1"/>
  <c r="AV9" i="2"/>
  <c r="AU9" i="2"/>
  <c r="AW9" i="2"/>
  <c r="AA6" i="2"/>
  <c r="AF6" i="2" s="1"/>
  <c r="AK6" i="2" s="1"/>
  <c r="BD8" i="2" l="1"/>
  <c r="BI8" i="2"/>
  <c r="BF8" i="2"/>
  <c r="BV8" i="2"/>
  <c r="BQ8" i="2"/>
  <c r="BP8" i="2"/>
  <c r="BW8" i="2"/>
  <c r="BU8" i="2"/>
  <c r="BS8" i="2"/>
  <c r="BC8" i="2"/>
  <c r="BY8" i="2"/>
  <c r="BG8" i="2"/>
  <c r="BL8" i="2"/>
  <c r="BJ8" i="2"/>
  <c r="BK8" i="2"/>
  <c r="BE8" i="2"/>
  <c r="BT8" i="2"/>
  <c r="BR8" i="2"/>
  <c r="BH8" i="2"/>
  <c r="BO8" i="2"/>
  <c r="BN8" i="2"/>
  <c r="BB8" i="2"/>
  <c r="BM8" i="2"/>
  <c r="BX8" i="2"/>
  <c r="AJ3" i="2"/>
  <c r="K3" i="2"/>
  <c r="Q3" i="2" s="1"/>
  <c r="L3" i="2"/>
  <c r="R3" i="2" s="1"/>
  <c r="J3" i="2"/>
  <c r="P3" i="2" s="1"/>
  <c r="AZ3" i="2"/>
  <c r="AZ28" i="2" s="1"/>
  <c r="I3" i="2"/>
  <c r="O3" i="2" s="1"/>
  <c r="N3" i="2"/>
  <c r="T3" i="2" s="1"/>
  <c r="Z3" i="2" s="1"/>
  <c r="AE3" i="2" s="1"/>
  <c r="U4" i="2"/>
  <c r="AA4" i="2" s="1"/>
  <c r="AF4" i="2" s="1"/>
  <c r="AK4" i="2" s="1"/>
  <c r="X4" i="2"/>
  <c r="W4" i="2"/>
  <c r="V4" i="2"/>
  <c r="AB5" i="2"/>
  <c r="AG5" i="2" s="1"/>
  <c r="AL5" i="2" s="1"/>
  <c r="AV7" i="2"/>
  <c r="AU7" i="2"/>
  <c r="AW7" i="2"/>
  <c r="AC5" i="2"/>
  <c r="AH5" i="2" s="1"/>
  <c r="AM5" i="2" s="1"/>
  <c r="CC6" i="2"/>
  <c r="AP6" i="2"/>
  <c r="AS6" i="2" s="1"/>
  <c r="AX9" i="2"/>
  <c r="AA5" i="2"/>
  <c r="AF5" i="2" s="1"/>
  <c r="AK5" i="2" s="1"/>
  <c r="BI9" i="2" l="1"/>
  <c r="BP9" i="2"/>
  <c r="BT9" i="2"/>
  <c r="BX9" i="2"/>
  <c r="BO9" i="2"/>
  <c r="BJ9" i="2"/>
  <c r="BN9" i="2"/>
  <c r="BY9" i="2"/>
  <c r="BB9" i="2"/>
  <c r="BQ9" i="2"/>
  <c r="BL9" i="2"/>
  <c r="BD29" i="2" s="1"/>
  <c r="BC9" i="2"/>
  <c r="BB29" i="2" s="1"/>
  <c r="BD9" i="2"/>
  <c r="BG9" i="2"/>
  <c r="BK9" i="2"/>
  <c r="BF9" i="2"/>
  <c r="BE9" i="2"/>
  <c r="BH9" i="2"/>
  <c r="BM9" i="2"/>
  <c r="BW9" i="2"/>
  <c r="BV9" i="2"/>
  <c r="BS9" i="2"/>
  <c r="BR9" i="2"/>
  <c r="BU9" i="2"/>
  <c r="AX7" i="2"/>
  <c r="AB4" i="2"/>
  <c r="AG4" i="2" s="1"/>
  <c r="AL4" i="2" s="1"/>
  <c r="AP4" i="2" s="1"/>
  <c r="BC29" i="2"/>
  <c r="AO6" i="2"/>
  <c r="AR6" i="2" s="1"/>
  <c r="AC4" i="2"/>
  <c r="AH4" i="2" s="1"/>
  <c r="AM4" i="2" s="1"/>
  <c r="W3" i="2"/>
  <c r="U3" i="2"/>
  <c r="AA3" i="2" s="1"/>
  <c r="AF3" i="2" s="1"/>
  <c r="AK3" i="2" s="1"/>
  <c r="V3" i="2"/>
  <c r="X3" i="2"/>
  <c r="BE29" i="2"/>
  <c r="AP5" i="2"/>
  <c r="AS5" i="2" s="1"/>
  <c r="AO5" i="2"/>
  <c r="AR5" i="2" s="1"/>
  <c r="AS4" i="2" l="1"/>
  <c r="AO4" i="2"/>
  <c r="AR4" i="2" s="1"/>
  <c r="AW6" i="2"/>
  <c r="AV6" i="2"/>
  <c r="AU6" i="2"/>
  <c r="AX6" i="2" s="1"/>
  <c r="AC3" i="2"/>
  <c r="AH3" i="2" s="1"/>
  <c r="AM3" i="2" s="1"/>
  <c r="BU7" i="2"/>
  <c r="BE7" i="2"/>
  <c r="BL7" i="2"/>
  <c r="BS7" i="2"/>
  <c r="BC7" i="2"/>
  <c r="BJ7" i="2"/>
  <c r="BQ7" i="2"/>
  <c r="BX7" i="2"/>
  <c r="BH7" i="2"/>
  <c r="BO7" i="2"/>
  <c r="BV7" i="2"/>
  <c r="BF7" i="2"/>
  <c r="BM7" i="2"/>
  <c r="BT7" i="2"/>
  <c r="BD7" i="2"/>
  <c r="BK7" i="2"/>
  <c r="BR7" i="2"/>
  <c r="BB7" i="2"/>
  <c r="BY7" i="2"/>
  <c r="BG7" i="2"/>
  <c r="BI7" i="2"/>
  <c r="BN7" i="2"/>
  <c r="BP7" i="2"/>
  <c r="BW7" i="2"/>
  <c r="AU5" i="2"/>
  <c r="AW5" i="2"/>
  <c r="AV5" i="2"/>
  <c r="AB3" i="2"/>
  <c r="AG3" i="2" s="1"/>
  <c r="AL3" i="2" s="1"/>
  <c r="AP3" i="2" s="1"/>
  <c r="AS3" i="2" l="1"/>
  <c r="AV28" i="2"/>
  <c r="AW28" i="2"/>
  <c r="AO3" i="2"/>
  <c r="AU4" i="2"/>
  <c r="AV4" i="2"/>
  <c r="AW4" i="2"/>
  <c r="BV6" i="2"/>
  <c r="BM6" i="2"/>
  <c r="BW6" i="2"/>
  <c r="BN6" i="2"/>
  <c r="BR6" i="2"/>
  <c r="BK6" i="2"/>
  <c r="BU6" i="2"/>
  <c r="BG6" i="2"/>
  <c r="BE6" i="2"/>
  <c r="BP6" i="2"/>
  <c r="BD6" i="2"/>
  <c r="BX6" i="2"/>
  <c r="BT6" i="2"/>
  <c r="BC6" i="2"/>
  <c r="BF6" i="2"/>
  <c r="BS6" i="2"/>
  <c r="BI6" i="2"/>
  <c r="BH6" i="2"/>
  <c r="BQ6" i="2"/>
  <c r="BY6" i="2"/>
  <c r="BL6" i="2"/>
  <c r="BB6" i="2"/>
  <c r="BJ6" i="2"/>
  <c r="BO6" i="2"/>
  <c r="AX5" i="2"/>
  <c r="BK5" i="2" l="1"/>
  <c r="BU5" i="2"/>
  <c r="BE5" i="2"/>
  <c r="BN5" i="2"/>
  <c r="BR5" i="2"/>
  <c r="BW5" i="2"/>
  <c r="BG5" i="2"/>
  <c r="BQ5" i="2"/>
  <c r="BX5" i="2"/>
  <c r="BF5" i="2"/>
  <c r="BV5" i="2"/>
  <c r="BS5" i="2"/>
  <c r="BC5" i="2"/>
  <c r="BM5" i="2"/>
  <c r="BT5" i="2"/>
  <c r="BL5" i="2"/>
  <c r="BJ5" i="2"/>
  <c r="BP5" i="2"/>
  <c r="BO5" i="2"/>
  <c r="BI5" i="2"/>
  <c r="BD5" i="2"/>
  <c r="BH5" i="2"/>
  <c r="BY5" i="2"/>
  <c r="BB5" i="2"/>
  <c r="BA28" i="2" s="1"/>
  <c r="CD3" i="2" s="1"/>
  <c r="AV27" i="2"/>
  <c r="AW27" i="2"/>
  <c r="AR3" i="2"/>
  <c r="AX4" i="2"/>
  <c r="BX4" i="2" l="1"/>
  <c r="BI4" i="2"/>
  <c r="BL4" i="2"/>
  <c r="BG4" i="2"/>
  <c r="BO4" i="2"/>
  <c r="BN4" i="2"/>
  <c r="BR4" i="2"/>
  <c r="BB4" i="2"/>
  <c r="BF4" i="2"/>
  <c r="BJ4" i="2"/>
  <c r="BS4" i="2"/>
  <c r="BH4" i="2"/>
  <c r="BC4" i="2"/>
  <c r="BV4" i="2"/>
  <c r="BY4" i="2"/>
  <c r="BE4" i="2"/>
  <c r="BP4" i="2"/>
  <c r="BD4" i="2"/>
  <c r="BQ4" i="2"/>
  <c r="BM4" i="2"/>
  <c r="BK4" i="2"/>
  <c r="BU4" i="2"/>
  <c r="BT4" i="2"/>
  <c r="BW4" i="2"/>
  <c r="AW3" i="2"/>
  <c r="AV3" i="2"/>
  <c r="AU3" i="2"/>
  <c r="AX3" i="2" s="1"/>
  <c r="CD6" i="2"/>
  <c r="BB3" i="2" l="1"/>
  <c r="BG3" i="2"/>
  <c r="BT3" i="2"/>
  <c r="BD3" i="2"/>
  <c r="BE3" i="2"/>
  <c r="BL3" i="2"/>
  <c r="BI3" i="2"/>
  <c r="BV3" i="2"/>
  <c r="BJ3" i="2"/>
  <c r="BC3" i="2"/>
  <c r="BF3" i="2"/>
  <c r="BU3" i="2"/>
  <c r="BN3" i="2"/>
  <c r="BP3" i="2"/>
  <c r="BY3" i="2"/>
  <c r="BH3" i="2"/>
  <c r="BS3" i="2"/>
  <c r="BQ3" i="2"/>
  <c r="BW3" i="2"/>
  <c r="BR3" i="2"/>
  <c r="BO3" i="2"/>
  <c r="BM3" i="2"/>
  <c r="BX3" i="2"/>
  <c r="BK3" i="2"/>
  <c r="BD28" i="2" s="1"/>
  <c r="BE28" i="2" l="1"/>
  <c r="BC28" i="2"/>
  <c r="BB28" i="2"/>
  <c r="CE3" i="2" s="1"/>
  <c r="CE6" i="2" l="1"/>
  <c r="C11" i="2" a="1"/>
  <c r="F11" i="2" l="1"/>
  <c r="F12" i="2" s="1"/>
  <c r="D11" i="2"/>
  <c r="D12" i="2" s="1"/>
  <c r="C11" i="2"/>
  <c r="C12" i="2" s="1"/>
  <c r="E11" i="2"/>
  <c r="E12" i="2" s="1"/>
  <c r="E13" i="2" s="1"/>
</calcChain>
</file>

<file path=xl/sharedStrings.xml><?xml version="1.0" encoding="utf-8"?>
<sst xmlns="http://schemas.openxmlformats.org/spreadsheetml/2006/main" count="97" uniqueCount="61">
  <si>
    <t>15-19</t>
  </si>
  <si>
    <t>20-24</t>
  </si>
  <si>
    <t>25-29</t>
  </si>
  <si>
    <t>30-34</t>
  </si>
  <si>
    <t>Ys(x)</t>
  </si>
  <si>
    <t>Fs(x)</t>
  </si>
  <si>
    <t>x</t>
  </si>
  <si>
    <t>Fs(x)/F</t>
  </si>
  <si>
    <t>Phi</t>
  </si>
  <si>
    <t>Phi'</t>
  </si>
  <si>
    <t>Phi''</t>
  </si>
  <si>
    <t>e(x)</t>
  </si>
  <si>
    <t>g(x)</t>
  </si>
  <si>
    <t>F(i)</t>
  </si>
  <si>
    <t>P(i)</t>
  </si>
  <si>
    <t>g()</t>
  </si>
  <si>
    <t>10-14</t>
  </si>
  <si>
    <t>F(i)/P(i)</t>
  </si>
  <si>
    <t>http://demographicestimation.iussp.org/content/cohort-parity-comparison-vital-registration-data</t>
  </si>
  <si>
    <t>年中人口数</t>
    <phoneticPr fontId="26" type="noConversion"/>
  </si>
  <si>
    <t>年份</t>
    <phoneticPr fontId="26" type="noConversion"/>
  </si>
  <si>
    <t>增长率</t>
    <phoneticPr fontId="26" type="noConversion"/>
  </si>
  <si>
    <t>完整性</t>
    <phoneticPr fontId="26" type="noConversion"/>
  </si>
  <si>
    <t>平均完整性</t>
    <phoneticPr fontId="26" type="noConversion"/>
  </si>
  <si>
    <t>否</t>
    <phoneticPr fontId="26" type="noConversion"/>
  </si>
  <si>
    <t>是</t>
    <phoneticPr fontId="26" type="noConversion"/>
  </si>
  <si>
    <r>
      <rPr>
        <b/>
        <sz val="11"/>
        <color rgb="FF000000"/>
        <rFont val="宋体"/>
        <family val="3"/>
        <charset val="134"/>
      </rPr>
      <t>年龄</t>
    </r>
    <r>
      <rPr>
        <b/>
        <sz val="11"/>
        <color rgb="FF000000"/>
        <rFont val="Arial Narrow"/>
        <family val="2"/>
      </rPr>
      <t xml:space="preserve"> x</t>
    </r>
    <phoneticPr fontId="26" type="noConversion"/>
  </si>
  <si>
    <t>平均值</t>
    <phoneticPr fontId="26" type="noConversion"/>
  </si>
  <si>
    <t>α</t>
  </si>
  <si>
    <t>β</t>
  </si>
  <si>
    <t>国家</t>
    <phoneticPr fontId="26" type="noConversion"/>
  </si>
  <si>
    <t>平滑处理</t>
    <phoneticPr fontId="26" type="noConversion"/>
  </si>
  <si>
    <t>智利</t>
    <phoneticPr fontId="26" type="noConversion"/>
  </si>
  <si>
    <t>斜率</t>
    <phoneticPr fontId="26" type="noConversion"/>
  </si>
  <si>
    <t>截距</t>
    <phoneticPr fontId="26" type="noConversion"/>
  </si>
  <si>
    <t>随时间的回归</t>
    <phoneticPr fontId="26" type="noConversion"/>
  </si>
  <si>
    <t>出生登记数</t>
  </si>
  <si>
    <r>
      <rPr>
        <b/>
        <sz val="10"/>
        <color rgb="FF006100"/>
        <rFont val="宋体"/>
        <family val="3"/>
        <charset val="134"/>
      </rPr>
      <t>最后一次人口普查中的平均曾生子女数</t>
    </r>
    <r>
      <rPr>
        <b/>
        <sz val="10"/>
        <color rgb="FF006100"/>
        <rFont val="Arial"/>
        <family val="2"/>
      </rPr>
      <t xml:space="preserve">  (</t>
    </r>
    <r>
      <rPr>
        <b/>
        <sz val="10"/>
        <color rgb="FF006100"/>
        <rFont val="宋体"/>
        <family val="3"/>
        <charset val="134"/>
      </rPr>
      <t>适用于年终</t>
    </r>
    <r>
      <rPr>
        <b/>
        <sz val="10"/>
        <color rgb="FF006100"/>
        <rFont val="Arial"/>
        <family val="2"/>
      </rPr>
      <t>)</t>
    </r>
  </si>
  <si>
    <t>孩次数 (适用于年终)</t>
  </si>
  <si>
    <t>年龄别生育率</t>
  </si>
  <si>
    <t>累计生育率</t>
  </si>
  <si>
    <t>相邻年龄累计生育率比值</t>
  </si>
  <si>
    <t>累计生育率比值的冈比特转换值</t>
  </si>
  <si>
    <r>
      <t>模型拟合</t>
    </r>
    <r>
      <rPr>
        <b/>
        <sz val="11"/>
        <color theme="1"/>
        <rFont val="Arial Narrow"/>
        <family val="2"/>
      </rPr>
      <t xml:space="preserve"> (z()- e())</t>
    </r>
  </si>
  <si>
    <t>选中的</t>
  </si>
  <si>
    <t>基于累计生育率推算的总和生育率</t>
  </si>
  <si>
    <t>单岁年龄别生育率</t>
  </si>
  <si>
    <t>扎巴校正法标准模型</t>
  </si>
  <si>
    <r>
      <t>移位</t>
    </r>
    <r>
      <rPr>
        <b/>
        <sz val="11"/>
        <color theme="1"/>
        <rFont val="Arial Narrow"/>
        <family val="2"/>
      </rPr>
      <t xml:space="preserve"> (生育</t>
    </r>
    <r>
      <rPr>
        <b/>
        <sz val="11"/>
        <color theme="1"/>
        <rFont val="宋体"/>
        <family val="3"/>
        <charset val="134"/>
      </rPr>
      <t>年龄</t>
    </r>
    <r>
      <rPr>
        <b/>
        <sz val="11"/>
        <color theme="1"/>
        <rFont val="Arial Narrow"/>
        <family val="2"/>
      </rPr>
      <t>)</t>
    </r>
  </si>
  <si>
    <t>比率</t>
  </si>
  <si>
    <t>否</t>
  </si>
  <si>
    <t>是否想平滑处理α和β值？（只有当它们是线性时才有效）。</t>
  </si>
  <si>
    <t>比较平均孩次数和申报的出生数来估计生育率 --应用说明</t>
  </si>
  <si>
    <t>数据输入</t>
  </si>
  <si>
    <t>本方法的阐述请参见</t>
  </si>
  <si>
    <t>在右边绿色单元格内输入国家名称。</t>
  </si>
  <si>
    <r>
      <t>在</t>
    </r>
    <r>
      <rPr>
        <b/>
        <i/>
        <sz val="12"/>
        <rFont val="Arial"/>
        <family val="2"/>
      </rPr>
      <t>Method</t>
    </r>
    <r>
      <rPr>
        <sz val="12"/>
        <rFont val="Arial"/>
        <family val="2"/>
      </rPr>
      <t>工作表中的</t>
    </r>
    <r>
      <rPr>
        <b/>
        <sz val="12"/>
        <rFont val="Arial"/>
        <family val="2"/>
      </rPr>
      <t>A3:A5</t>
    </r>
    <r>
      <rPr>
        <sz val="12"/>
        <rFont val="Arial"/>
        <family val="2"/>
      </rPr>
      <t>单元格区域内以日/月/年的格式输入最近的2-3次人口普查的日期 。</t>
    </r>
  </si>
  <si>
    <r>
      <t xml:space="preserve"> 在</t>
    </r>
    <r>
      <rPr>
        <b/>
        <i/>
        <sz val="12"/>
        <rFont val="Arial"/>
        <family val="2"/>
      </rPr>
      <t>Methods</t>
    </r>
    <r>
      <rPr>
        <sz val="12"/>
        <rFont val="Arial"/>
        <family val="2"/>
      </rPr>
      <t>工作表中的</t>
    </r>
    <r>
      <rPr>
        <b/>
        <sz val="12"/>
        <rFont val="Arial"/>
        <family val="2"/>
      </rPr>
      <t>C3:F5</t>
    </r>
    <r>
      <rPr>
        <sz val="12"/>
        <rFont val="Arial"/>
        <family val="2"/>
      </rPr>
      <t>单元格中区域内输入最近2-3次人口普查中年龄为15-34岁的妇女人数 。</t>
    </r>
  </si>
  <si>
    <r>
      <t xml:space="preserve"> 在</t>
    </r>
    <r>
      <rPr>
        <b/>
        <i/>
        <sz val="12"/>
        <rFont val="Arial"/>
        <family val="2"/>
      </rPr>
      <t>Method</t>
    </r>
    <r>
      <rPr>
        <sz val="12"/>
        <rFont val="Arial"/>
        <family val="2"/>
      </rPr>
      <t>工作表中的</t>
    </r>
    <r>
      <rPr>
        <b/>
        <sz val="12"/>
        <rFont val="Arial"/>
        <family val="2"/>
      </rPr>
      <t>C6:F6</t>
    </r>
    <r>
      <rPr>
        <sz val="12"/>
        <rFont val="Arial"/>
        <family val="2"/>
      </rPr>
      <t>单元格区域内录入上一次人口普查中从15-19岁至30-34岁四个年龄组的 平均生育数（必要的话，使用巴德里法校正）。</t>
    </r>
  </si>
  <si>
    <r>
      <t xml:space="preserve"> 在</t>
    </r>
    <r>
      <rPr>
        <b/>
        <i/>
        <sz val="12"/>
        <rFont val="Arial"/>
        <family val="2"/>
      </rPr>
      <t>Method</t>
    </r>
    <r>
      <rPr>
        <sz val="12"/>
        <rFont val="Arial"/>
        <family val="2"/>
      </rPr>
      <t>工作表中的</t>
    </r>
    <r>
      <rPr>
        <b/>
        <sz val="12"/>
        <rFont val="Arial"/>
        <family val="2"/>
      </rPr>
      <t>C17:F36</t>
    </r>
    <r>
      <rPr>
        <sz val="12"/>
        <rFont val="Arial"/>
        <family val="2"/>
      </rPr>
      <t xml:space="preserve"> 单元格区域内录入按母亲年龄和年份（过去20年）分的出生登记数 。</t>
    </r>
  </si>
  <si>
    <t>本工作表通过比较两次或更多次人口普查或调查中的平均孩次数与生命登记系统申报的出生数来估计生育率。尽管本方法可以得到生育率估计，但本方法的主要优势是它能衡量出生登记的完整性。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</si>
</sst>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 #,##0.00_ ;_ * \-#,##0.00_ ;_ * &quot;-&quot;??_ ;_ @_ "/>
    <numFmt numFmtId="176" formatCode="0.000"/>
    <numFmt numFmtId="177" formatCode="0.0000"/>
    <numFmt numFmtId="178" formatCode="_ * #,##0_ ;_ * \-#,##0_ ;_ * &quot;-&quot;??_ ;_ @_ "/>
    <numFmt numFmtId="179" formatCode="_ * #,##0.0000_ ;_ * \-#,##0.0000_ ;_ * &quot;-&quot;??_ ;_ @_ "/>
    <numFmt numFmtId="180" formatCode="General_)"/>
    <numFmt numFmtId="181" formatCode="0.0000000"/>
  </numFmts>
  <fonts count="34" x14ac:knownFonts="1">
    <font>
      <sz val="11"/>
      <color theme="1"/>
      <name val="宋体"/>
      <family val="2"/>
      <scheme val="minor"/>
    </font>
    <font>
      <sz val="11"/>
      <color theme="1"/>
      <name val="宋体"/>
      <family val="2"/>
      <scheme val="minor"/>
    </font>
    <font>
      <sz val="11"/>
      <color rgb="FF006100"/>
      <name val="宋体"/>
      <family val="2"/>
      <scheme val="minor"/>
    </font>
    <font>
      <sz val="11"/>
      <color rgb="FF9C6500"/>
      <name val="宋体"/>
      <family val="2"/>
      <scheme val="minor"/>
    </font>
    <font>
      <sz val="10"/>
      <name val="Arial"/>
      <family val="2"/>
    </font>
    <font>
      <b/>
      <sz val="12"/>
      <name val="Arial"/>
      <family val="2"/>
    </font>
    <font>
      <sz val="12"/>
      <name val="Arial"/>
      <family val="2"/>
    </font>
    <font>
      <u/>
      <sz val="10"/>
      <color theme="10"/>
      <name val="Arial"/>
      <family val="2"/>
    </font>
    <font>
      <u/>
      <sz val="12"/>
      <color theme="10"/>
      <name val="Arial"/>
      <family val="2"/>
    </font>
    <font>
      <b/>
      <sz val="12"/>
      <color rgb="FF006100"/>
      <name val="Arial"/>
      <family val="2"/>
    </font>
    <font>
      <sz val="12"/>
      <color rgb="FF006100"/>
      <name val="Arial"/>
      <family val="2"/>
    </font>
    <font>
      <sz val="12"/>
      <color theme="1"/>
      <name val="Arial"/>
      <family val="2"/>
    </font>
    <font>
      <b/>
      <sz val="11"/>
      <color theme="1"/>
      <name val="Arial Narrow"/>
      <family val="2"/>
    </font>
    <font>
      <b/>
      <sz val="11"/>
      <color rgb="FF000000"/>
      <name val="Arial Narrow"/>
      <family val="2"/>
    </font>
    <font>
      <sz val="10"/>
      <color theme="1"/>
      <name val="Arial"/>
      <family val="2"/>
    </font>
    <font>
      <b/>
      <sz val="10"/>
      <color theme="1"/>
      <name val="Arial"/>
      <family val="2"/>
    </font>
    <font>
      <sz val="10"/>
      <color rgb="FF000000"/>
      <name val="Arial"/>
      <family val="2"/>
    </font>
    <font>
      <sz val="10"/>
      <color rgb="FF006100"/>
      <name val="Arial"/>
      <family val="2"/>
    </font>
    <font>
      <sz val="10"/>
      <color rgb="FF9C6500"/>
      <name val="Arial"/>
      <family val="2"/>
    </font>
    <font>
      <sz val="10"/>
      <color rgb="FFFF0000"/>
      <name val="Arial"/>
      <family val="2"/>
    </font>
    <font>
      <i/>
      <sz val="10"/>
      <color rgb="FF000000"/>
      <name val="Arial"/>
      <family val="2"/>
    </font>
    <font>
      <b/>
      <sz val="10"/>
      <color rgb="FF000000"/>
      <name val="Arial"/>
      <family val="2"/>
    </font>
    <font>
      <b/>
      <sz val="10"/>
      <color rgb="FF006100"/>
      <name val="Arial"/>
      <family val="2"/>
    </font>
    <font>
      <b/>
      <sz val="10"/>
      <color rgb="FF9C6500"/>
      <name val="Arial"/>
      <family val="2"/>
    </font>
    <font>
      <b/>
      <sz val="10"/>
      <color rgb="FFFF0000"/>
      <name val="Arial"/>
      <family val="2"/>
    </font>
    <font>
      <u/>
      <sz val="11"/>
      <color theme="10"/>
      <name val="宋体"/>
      <family val="2"/>
      <scheme val="minor"/>
    </font>
    <font>
      <sz val="9"/>
      <name val="宋体"/>
      <family val="3"/>
      <charset val="134"/>
      <scheme val="minor"/>
    </font>
    <font>
      <b/>
      <sz val="11"/>
      <color theme="1"/>
      <name val="宋体"/>
      <family val="3"/>
      <charset val="134"/>
    </font>
    <font>
      <b/>
      <sz val="11"/>
      <color rgb="FF000000"/>
      <name val="宋体"/>
      <family val="3"/>
      <charset val="134"/>
    </font>
    <font>
      <b/>
      <sz val="10"/>
      <color rgb="FF006100"/>
      <name val="宋体"/>
      <family val="3"/>
      <charset val="134"/>
    </font>
    <font>
      <b/>
      <sz val="10"/>
      <color rgb="FF9C6500"/>
      <name val="宋体"/>
      <family val="3"/>
      <charset val="134"/>
    </font>
    <font>
      <sz val="10"/>
      <color theme="1"/>
      <name val="宋体"/>
      <family val="3"/>
      <charset val="134"/>
    </font>
    <font>
      <b/>
      <i/>
      <sz val="12"/>
      <name val="Arial"/>
      <family val="2"/>
    </font>
    <font>
      <b/>
      <sz val="10"/>
      <color rgb="FF006100"/>
      <name val="Arial"/>
      <family val="3"/>
      <charset val="134"/>
    </font>
  </fonts>
  <fills count="7">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EB9C"/>
      </patternFill>
    </fill>
    <fill>
      <patternFill patternType="solid">
        <fgColor rgb="FFFFEB9C"/>
        <bgColor indexed="64"/>
      </patternFill>
    </fill>
    <fill>
      <patternFill patternType="solid">
        <fgColor rgb="FF00B050"/>
        <bgColor indexed="64"/>
      </patternFill>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theme="9" tint="-0.249977111117893"/>
      </left>
      <right/>
      <top/>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7" fillId="0" borderId="0" applyNumberFormat="0" applyFill="0" applyBorder="0" applyAlignment="0" applyProtection="0">
      <alignment vertical="top"/>
      <protection locked="0"/>
    </xf>
    <xf numFmtId="0" fontId="25" fillId="0" borderId="0" applyNumberFormat="0" applyFill="0" applyBorder="0" applyAlignment="0" applyProtection="0"/>
  </cellStyleXfs>
  <cellXfs count="83">
    <xf numFmtId="0" fontId="0" fillId="0" borderId="0" xfId="0"/>
    <xf numFmtId="0" fontId="8" fillId="0" borderId="0" xfId="5" applyFont="1" applyAlignment="1" applyProtection="1"/>
    <xf numFmtId="0" fontId="14" fillId="0" borderId="0" xfId="0" applyFont="1" applyBorder="1"/>
    <xf numFmtId="0" fontId="14" fillId="0" borderId="0" xfId="0" applyFont="1" applyBorder="1" applyAlignment="1">
      <alignment horizontal="center"/>
    </xf>
    <xf numFmtId="0" fontId="15" fillId="0" borderId="0" xfId="0" applyFont="1" applyBorder="1"/>
    <xf numFmtId="0" fontId="14" fillId="0" borderId="0" xfId="0" applyFont="1" applyFill="1" applyBorder="1"/>
    <xf numFmtId="0" fontId="14" fillId="0" borderId="0" xfId="0" applyFont="1" applyFill="1" applyBorder="1" applyAlignment="1">
      <alignment horizontal="center"/>
    </xf>
    <xf numFmtId="0" fontId="4" fillId="0" borderId="0" xfId="0" applyFont="1"/>
    <xf numFmtId="0" fontId="4" fillId="0" borderId="0" xfId="0" applyFont="1" applyAlignment="1">
      <alignment horizontal="center"/>
    </xf>
    <xf numFmtId="0" fontId="16" fillId="0" borderId="0" xfId="0" applyFont="1" applyBorder="1" applyAlignment="1">
      <alignment horizontal="left"/>
    </xf>
    <xf numFmtId="176" fontId="14" fillId="0" borderId="0" xfId="0" applyNumberFormat="1" applyFont="1" applyBorder="1"/>
    <xf numFmtId="0" fontId="16" fillId="0" borderId="0" xfId="0" applyFont="1" applyFill="1" applyBorder="1" applyAlignment="1">
      <alignment horizontal="right" wrapText="1"/>
    </xf>
    <xf numFmtId="179" fontId="14" fillId="0" borderId="0" xfId="1" applyNumberFormat="1" applyFont="1" applyBorder="1"/>
    <xf numFmtId="177" fontId="14" fillId="0" borderId="0" xfId="0" applyNumberFormat="1" applyFont="1" applyBorder="1"/>
    <xf numFmtId="179" fontId="14" fillId="0" borderId="0" xfId="0" applyNumberFormat="1" applyFont="1" applyBorder="1"/>
    <xf numFmtId="43" fontId="14" fillId="0" borderId="0" xfId="0" applyNumberFormat="1" applyFont="1" applyBorder="1"/>
    <xf numFmtId="177" fontId="14" fillId="2" borderId="0" xfId="0" applyNumberFormat="1" applyFont="1" applyFill="1" applyBorder="1"/>
    <xf numFmtId="177" fontId="14" fillId="0" borderId="0" xfId="0" applyNumberFormat="1" applyFont="1" applyFill="1" applyBorder="1"/>
    <xf numFmtId="177" fontId="4" fillId="0" borderId="0" xfId="0" applyNumberFormat="1" applyFont="1" applyAlignment="1" applyProtection="1">
      <alignment horizontal="right" vertical="top" wrapText="1"/>
    </xf>
    <xf numFmtId="15" fontId="14" fillId="0" borderId="0" xfId="0" applyNumberFormat="1" applyFont="1" applyBorder="1"/>
    <xf numFmtId="1" fontId="16" fillId="0" borderId="0" xfId="0" applyNumberFormat="1" applyFont="1" applyBorder="1" applyAlignment="1">
      <alignment horizontal="right"/>
    </xf>
    <xf numFmtId="0" fontId="18" fillId="4" borderId="0" xfId="3" applyFont="1" applyBorder="1"/>
    <xf numFmtId="1" fontId="18" fillId="4" borderId="0" xfId="3" applyNumberFormat="1" applyFont="1" applyBorder="1"/>
    <xf numFmtId="2" fontId="18" fillId="4" borderId="0" xfId="3" applyNumberFormat="1" applyFont="1" applyBorder="1"/>
    <xf numFmtId="177" fontId="18" fillId="4" borderId="0" xfId="3" applyNumberFormat="1" applyFont="1" applyBorder="1"/>
    <xf numFmtId="177" fontId="14" fillId="0" borderId="0" xfId="0" applyNumberFormat="1" applyFont="1" applyBorder="1" applyAlignment="1">
      <alignment horizontal="center"/>
    </xf>
    <xf numFmtId="176" fontId="14" fillId="0" borderId="0" xfId="0" applyNumberFormat="1" applyFont="1" applyFill="1" applyBorder="1"/>
    <xf numFmtId="178" fontId="14" fillId="0" borderId="0" xfId="1" applyNumberFormat="1" applyFont="1" applyBorder="1"/>
    <xf numFmtId="0" fontId="17" fillId="0" borderId="0" xfId="2" applyFont="1" applyFill="1" applyBorder="1"/>
    <xf numFmtId="1" fontId="17" fillId="0" borderId="0" xfId="2" applyNumberFormat="1" applyFont="1" applyFill="1" applyBorder="1"/>
    <xf numFmtId="2" fontId="17" fillId="0" borderId="0" xfId="2" applyNumberFormat="1" applyFont="1" applyFill="1" applyBorder="1"/>
    <xf numFmtId="0" fontId="12" fillId="0" borderId="0" xfId="0" quotePrefix="1" applyFont="1" applyBorder="1"/>
    <xf numFmtId="177" fontId="4" fillId="0" borderId="0" xfId="0" applyNumberFormat="1" applyFont="1"/>
    <xf numFmtId="0" fontId="19" fillId="0" borderId="0" xfId="3" applyFont="1" applyFill="1" applyBorder="1"/>
    <xf numFmtId="181" fontId="19" fillId="0" borderId="0" xfId="3" applyNumberFormat="1" applyFont="1" applyFill="1" applyBorder="1"/>
    <xf numFmtId="181" fontId="19" fillId="0" borderId="0" xfId="3" applyNumberFormat="1" applyFont="1" applyFill="1" applyBorder="1" applyAlignment="1">
      <alignment horizontal="center"/>
    </xf>
    <xf numFmtId="0" fontId="15" fillId="0" borderId="8" xfId="0" applyFont="1" applyBorder="1"/>
    <xf numFmtId="0" fontId="21" fillId="0" borderId="8" xfId="0" applyFont="1" applyBorder="1" applyAlignment="1">
      <alignment horizontal="left" wrapText="1"/>
    </xf>
    <xf numFmtId="0" fontId="21" fillId="0" borderId="8" xfId="0" applyFont="1" applyBorder="1" applyAlignment="1">
      <alignment horizontal="left"/>
    </xf>
    <xf numFmtId="0" fontId="23" fillId="4" borderId="0" xfId="3" applyFont="1" applyBorder="1"/>
    <xf numFmtId="0" fontId="24" fillId="0" borderId="0" xfId="3" applyFont="1" applyFill="1" applyBorder="1"/>
    <xf numFmtId="0" fontId="12" fillId="0" borderId="9" xfId="0" applyFont="1" applyBorder="1"/>
    <xf numFmtId="0" fontId="13" fillId="0" borderId="9" xfId="0" applyFont="1" applyBorder="1" applyAlignment="1">
      <alignment horizontal="left" wrapText="1"/>
    </xf>
    <xf numFmtId="0" fontId="13" fillId="0" borderId="9" xfId="0" applyFont="1" applyBorder="1" applyAlignment="1">
      <alignment horizontal="left"/>
    </xf>
    <xf numFmtId="0" fontId="12" fillId="0" borderId="8" xfId="0" quotePrefix="1" applyFont="1" applyBorder="1"/>
    <xf numFmtId="177" fontId="4" fillId="0" borderId="8" xfId="0" applyNumberFormat="1" applyFont="1" applyBorder="1" applyAlignment="1" applyProtection="1">
      <alignment horizontal="right" vertical="top" wrapText="1"/>
    </xf>
    <xf numFmtId="1" fontId="14" fillId="0" borderId="0" xfId="0" applyNumberFormat="1" applyFont="1" applyBorder="1"/>
    <xf numFmtId="0" fontId="4" fillId="0" borderId="0" xfId="4" applyFont="1" applyProtection="1"/>
    <xf numFmtId="0" fontId="6" fillId="0" borderId="0" xfId="4" applyFont="1" applyProtection="1"/>
    <xf numFmtId="0" fontId="4" fillId="0" borderId="0" xfId="4" applyFont="1" applyAlignment="1" applyProtection="1">
      <alignment horizontal="center"/>
    </xf>
    <xf numFmtId="0" fontId="4" fillId="0" borderId="0" xfId="4" applyFont="1" applyAlignment="1" applyProtection="1">
      <alignment wrapText="1"/>
    </xf>
    <xf numFmtId="0" fontId="5" fillId="0" borderId="0" xfId="4" applyFont="1" applyProtection="1"/>
    <xf numFmtId="0" fontId="6" fillId="0" borderId="0" xfId="4" applyFont="1" applyAlignment="1" applyProtection="1">
      <alignment vertical="top"/>
    </xf>
    <xf numFmtId="0" fontId="6" fillId="0" borderId="0" xfId="4" applyFont="1" applyAlignment="1" applyProtection="1">
      <alignment wrapText="1"/>
    </xf>
    <xf numFmtId="0" fontId="6" fillId="0" borderId="1" xfId="4" applyFont="1" applyBorder="1" applyAlignment="1" applyProtection="1">
      <alignment horizontal="right"/>
    </xf>
    <xf numFmtId="0" fontId="6" fillId="0" borderId="3" xfId="4" applyFont="1" applyBorder="1" applyAlignment="1" applyProtection="1">
      <alignment horizontal="right"/>
    </xf>
    <xf numFmtId="0" fontId="11" fillId="0" borderId="5" xfId="4" applyFont="1" applyBorder="1" applyAlignment="1" applyProtection="1">
      <alignment horizontal="right"/>
    </xf>
    <xf numFmtId="0" fontId="4" fillId="0" borderId="0" xfId="4" applyFont="1" applyAlignment="1" applyProtection="1">
      <alignment vertical="top"/>
    </xf>
    <xf numFmtId="176" fontId="9" fillId="3" borderId="2" xfId="2" applyNumberFormat="1" applyFont="1" applyBorder="1" applyAlignment="1" applyProtection="1">
      <alignment horizontal="center"/>
      <protection locked="0"/>
    </xf>
    <xf numFmtId="0" fontId="10" fillId="3" borderId="7" xfId="2" applyFont="1" applyBorder="1" applyAlignment="1" applyProtection="1">
      <alignment horizontal="center"/>
      <protection locked="0"/>
    </xf>
    <xf numFmtId="178" fontId="17" fillId="3" borderId="0" xfId="2" applyNumberFormat="1" applyFont="1" applyBorder="1" applyProtection="1">
      <protection locked="0"/>
    </xf>
    <xf numFmtId="2" fontId="17" fillId="3" borderId="0" xfId="2" applyNumberFormat="1" applyFont="1" applyBorder="1" applyProtection="1">
      <protection locked="0"/>
    </xf>
    <xf numFmtId="0" fontId="10" fillId="3" borderId="4" xfId="2" applyFont="1" applyBorder="1" applyAlignment="1" applyProtection="1">
      <alignment horizontal="center"/>
    </xf>
    <xf numFmtId="0" fontId="14" fillId="6" borderId="0" xfId="0" applyFont="1" applyFill="1" applyBorder="1"/>
    <xf numFmtId="0" fontId="27" fillId="0" borderId="0" xfId="0" quotePrefix="1" applyFont="1" applyBorder="1"/>
    <xf numFmtId="0" fontId="27" fillId="0" borderId="0" xfId="0" applyFont="1" applyBorder="1"/>
    <xf numFmtId="0" fontId="28" fillId="0" borderId="9" xfId="0" applyFont="1" applyBorder="1" applyAlignment="1">
      <alignment horizontal="left"/>
    </xf>
    <xf numFmtId="0" fontId="27" fillId="0" borderId="9" xfId="0" applyFont="1" applyBorder="1"/>
    <xf numFmtId="14" fontId="22" fillId="3" borderId="0" xfId="2" applyNumberFormat="1" applyFont="1" applyBorder="1" applyProtection="1">
      <protection locked="0"/>
    </xf>
    <xf numFmtId="0" fontId="30" fillId="4" borderId="0" xfId="3" applyFont="1" applyBorder="1"/>
    <xf numFmtId="0" fontId="31" fillId="6" borderId="0" xfId="0" applyFont="1" applyFill="1" applyBorder="1"/>
    <xf numFmtId="0" fontId="31" fillId="6" borderId="10" xfId="0" applyFont="1" applyFill="1" applyBorder="1"/>
    <xf numFmtId="0" fontId="31" fillId="6" borderId="11" xfId="0" applyFont="1" applyFill="1" applyBorder="1"/>
    <xf numFmtId="0" fontId="33" fillId="3" borderId="0" xfId="2" applyFont="1" applyBorder="1" applyProtection="1">
      <protection locked="0"/>
    </xf>
    <xf numFmtId="0" fontId="6" fillId="0" borderId="0" xfId="4" applyFont="1" applyFill="1" applyAlignment="1" applyProtection="1">
      <alignment horizontal="left"/>
    </xf>
    <xf numFmtId="180" fontId="8" fillId="0" borderId="3" xfId="6" applyNumberFormat="1" applyFont="1" applyFill="1" applyBorder="1" applyAlignment="1" applyProtection="1">
      <alignment horizontal="left"/>
      <protection locked="0"/>
    </xf>
    <xf numFmtId="180" fontId="8" fillId="0" borderId="0" xfId="6" applyNumberFormat="1" applyFont="1" applyFill="1" applyBorder="1" applyAlignment="1" applyProtection="1">
      <alignment horizontal="left"/>
      <protection locked="0"/>
    </xf>
    <xf numFmtId="0" fontId="6" fillId="0" borderId="0" xfId="4" applyFont="1" applyAlignment="1" applyProtection="1">
      <alignment horizontal="left" vertical="top" wrapText="1"/>
    </xf>
    <xf numFmtId="0" fontId="20" fillId="0" borderId="0" xfId="0" applyFont="1" applyBorder="1" applyAlignment="1">
      <alignment horizontal="center" wrapText="1"/>
    </xf>
    <xf numFmtId="177" fontId="18" fillId="4" borderId="0" xfId="3" applyNumberFormat="1" applyFont="1" applyBorder="1" applyAlignment="1">
      <alignment horizontal="center"/>
    </xf>
    <xf numFmtId="0" fontId="18" fillId="4" borderId="0" xfId="3" applyFont="1" applyBorder="1" applyAlignment="1">
      <alignment horizontal="center"/>
    </xf>
    <xf numFmtId="0" fontId="5" fillId="5" borderId="6" xfId="4" applyFont="1" applyFill="1" applyBorder="1" applyAlignment="1" applyProtection="1">
      <alignment horizontal="center" vertical="top" wrapText="1"/>
    </xf>
    <xf numFmtId="0" fontId="5" fillId="5" borderId="0" xfId="4" applyFont="1" applyFill="1" applyBorder="1" applyAlignment="1" applyProtection="1">
      <alignment horizontal="center" vertical="top" wrapText="1"/>
    </xf>
  </cellXfs>
  <cellStyles count="7">
    <cellStyle name="Comma" xfId="1" builtinId="3"/>
    <cellStyle name="Good" xfId="2" builtinId="26"/>
    <cellStyle name="Hyperlink" xfId="6" builtinId="8"/>
    <cellStyle name="Hyperlink 2" xfId="5"/>
    <cellStyle name="Neutral" xfId="3" builtinId="28"/>
    <cellStyle name="Normal" xfId="0" builtinId="0"/>
    <cellStyle name="Normal 3 2 2" xfId="4"/>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Method!$AO$2</c:f>
              <c:strCache>
                <c:ptCount val="1"/>
                <c:pt idx="0">
                  <c:v>α</c:v>
                </c:pt>
              </c:strCache>
            </c:strRef>
          </c:tx>
          <c:marker>
            <c:symbol val="none"/>
          </c:marker>
          <c:xVal>
            <c:numRef>
              <c:f>Method!$AJ$3:$AJ$22</c:f>
              <c:numCache>
                <c:formatCode>General</c:formatCode>
                <c:ptCount val="20"/>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numCache>
            </c:numRef>
          </c:xVal>
          <c:yVal>
            <c:numRef>
              <c:f>Method!$AO$3:$AO$22</c:f>
              <c:numCache>
                <c:formatCode>0.0000</c:formatCode>
                <c:ptCount val="20"/>
                <c:pt idx="0">
                  <c:v>4.9303096207488732E-3</c:v>
                </c:pt>
                <c:pt idx="1">
                  <c:v>2.4203216375161346E-2</c:v>
                </c:pt>
                <c:pt idx="2">
                  <c:v>1.7704204276747751E-2</c:v>
                </c:pt>
                <c:pt idx="3">
                  <c:v>2.7047456698154424E-2</c:v>
                </c:pt>
                <c:pt idx="4">
                  <c:v>4.301422671898604E-2</c:v>
                </c:pt>
                <c:pt idx="5">
                  <c:v>5.8495578429432399E-2</c:v>
                </c:pt>
                <c:pt idx="6">
                  <c:v>8.2768030446582389E-2</c:v>
                </c:pt>
                <c:pt idx="7">
                  <c:v>8.4358182569056056E-2</c:v>
                </c:pt>
                <c:pt idx="8">
                  <c:v>9.1216489397875855E-2</c:v>
                </c:pt>
                <c:pt idx="9">
                  <c:v>8.5031091974934539E-2</c:v>
                </c:pt>
                <c:pt idx="10">
                  <c:v>5.1646099027303438E-2</c:v>
                </c:pt>
                <c:pt idx="11">
                  <c:v>5.1969674530972218E-2</c:v>
                </c:pt>
                <c:pt idx="12">
                  <c:v>7.1160109557977025E-2</c:v>
                </c:pt>
                <c:pt idx="13">
                  <c:v>5.2721865971638415E-2</c:v>
                </c:pt>
                <c:pt idx="14">
                  <c:v>5.3719742235227616E-2</c:v>
                </c:pt>
                <c:pt idx="15">
                  <c:v>4.7900670938062336E-2</c:v>
                </c:pt>
                <c:pt idx="16">
                  <c:v>5.0638349462178531E-2</c:v>
                </c:pt>
                <c:pt idx="17">
                  <c:v>4.7197182645867482E-2</c:v>
                </c:pt>
                <c:pt idx="18">
                  <c:v>3.8790756868987988E-2</c:v>
                </c:pt>
                <c:pt idx="19">
                  <c:v>1.7929931672990986E-2</c:v>
                </c:pt>
              </c:numCache>
            </c:numRef>
          </c:yVal>
          <c:smooth val="0"/>
          <c:extLst>
            <c:ext xmlns:c16="http://schemas.microsoft.com/office/drawing/2014/chart" uri="{C3380CC4-5D6E-409C-BE32-E72D297353CC}">
              <c16:uniqueId val="{00000000-47BD-4585-912E-5097F4999D07}"/>
            </c:ext>
          </c:extLst>
        </c:ser>
        <c:dLbls>
          <c:showLegendKey val="0"/>
          <c:showVal val="0"/>
          <c:showCatName val="0"/>
          <c:showSerName val="0"/>
          <c:showPercent val="0"/>
          <c:showBubbleSize val="0"/>
        </c:dLbls>
        <c:axId val="98470144"/>
        <c:axId val="98484608"/>
      </c:scatterChart>
      <c:scatterChart>
        <c:scatterStyle val="lineMarker"/>
        <c:varyColors val="0"/>
        <c:ser>
          <c:idx val="1"/>
          <c:order val="1"/>
          <c:tx>
            <c:strRef>
              <c:f>Method!$AP$2</c:f>
              <c:strCache>
                <c:ptCount val="1"/>
                <c:pt idx="0">
                  <c:v>β</c:v>
                </c:pt>
              </c:strCache>
            </c:strRef>
          </c:tx>
          <c:spPr>
            <a:ln>
              <a:solidFill>
                <a:srgbClr val="FF66FF"/>
              </a:solidFill>
              <a:prstDash val="sysDash"/>
            </a:ln>
          </c:spPr>
          <c:marker>
            <c:symbol val="none"/>
          </c:marker>
          <c:xVal>
            <c:numRef>
              <c:f>Method!$AJ$3:$AJ$22</c:f>
              <c:numCache>
                <c:formatCode>General</c:formatCode>
                <c:ptCount val="20"/>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numCache>
            </c:numRef>
          </c:xVal>
          <c:yVal>
            <c:numRef>
              <c:f>Method!$AP$3:$AP$22</c:f>
              <c:numCache>
                <c:formatCode>0.0000</c:formatCode>
                <c:ptCount val="20"/>
                <c:pt idx="0">
                  <c:v>1.1366887612459466</c:v>
                </c:pt>
                <c:pt idx="1">
                  <c:v>1.1503516890037402</c:v>
                </c:pt>
                <c:pt idx="2">
                  <c:v>1.1366680069060699</c:v>
                </c:pt>
                <c:pt idx="3">
                  <c:v>1.1254802262326238</c:v>
                </c:pt>
                <c:pt idx="4">
                  <c:v>1.1419790079191161</c:v>
                </c:pt>
                <c:pt idx="5">
                  <c:v>1.150283806159875</c:v>
                </c:pt>
                <c:pt idx="6">
                  <c:v>1.1653419867368953</c:v>
                </c:pt>
                <c:pt idx="7">
                  <c:v>1.1843423972635367</c:v>
                </c:pt>
                <c:pt idx="8">
                  <c:v>1.1982264265591163</c:v>
                </c:pt>
                <c:pt idx="9">
                  <c:v>1.2071042154042908</c:v>
                </c:pt>
                <c:pt idx="10">
                  <c:v>1.1909896843312286</c:v>
                </c:pt>
                <c:pt idx="11">
                  <c:v>1.1989525257420848</c:v>
                </c:pt>
                <c:pt idx="12">
                  <c:v>1.2031811185431578</c:v>
                </c:pt>
                <c:pt idx="13">
                  <c:v>1.2066601626407216</c:v>
                </c:pt>
                <c:pt idx="14">
                  <c:v>1.2038146330775756</c:v>
                </c:pt>
                <c:pt idx="15">
                  <c:v>1.2023904027958363</c:v>
                </c:pt>
                <c:pt idx="16">
                  <c:v>1.1956387873605721</c:v>
                </c:pt>
                <c:pt idx="17">
                  <c:v>1.165354976410973</c:v>
                </c:pt>
                <c:pt idx="18">
                  <c:v>1.1403815529354671</c:v>
                </c:pt>
                <c:pt idx="19">
                  <c:v>1.1008636546452648</c:v>
                </c:pt>
              </c:numCache>
            </c:numRef>
          </c:yVal>
          <c:smooth val="0"/>
          <c:extLst>
            <c:ext xmlns:c16="http://schemas.microsoft.com/office/drawing/2014/chart" uri="{C3380CC4-5D6E-409C-BE32-E72D297353CC}">
              <c16:uniqueId val="{00000001-47BD-4585-912E-5097F4999D07}"/>
            </c:ext>
          </c:extLst>
        </c:ser>
        <c:dLbls>
          <c:showLegendKey val="0"/>
          <c:showVal val="0"/>
          <c:showCatName val="0"/>
          <c:showSerName val="0"/>
          <c:showPercent val="0"/>
          <c:showBubbleSize val="0"/>
        </c:dLbls>
        <c:axId val="98496896"/>
        <c:axId val="98486528"/>
      </c:scatterChart>
      <c:valAx>
        <c:axId val="98470144"/>
        <c:scaling>
          <c:orientation val="minMax"/>
        </c:scaling>
        <c:delete val="0"/>
        <c:axPos val="b"/>
        <c:title>
          <c:tx>
            <c:rich>
              <a:bodyPr/>
              <a:lstStyle/>
              <a:p>
                <a:pPr>
                  <a:defRPr lang="en-US"/>
                </a:pPr>
                <a:r>
                  <a:rPr lang="zh-CN" altLang="en-US"/>
                  <a:t>年份</a:t>
                </a:r>
                <a:endParaRPr lang="en-US"/>
              </a:p>
            </c:rich>
          </c:tx>
          <c:overlay val="0"/>
        </c:title>
        <c:numFmt formatCode="General" sourceLinked="1"/>
        <c:majorTickMark val="out"/>
        <c:minorTickMark val="none"/>
        <c:tickLblPos val="nextTo"/>
        <c:txPr>
          <a:bodyPr/>
          <a:lstStyle/>
          <a:p>
            <a:pPr>
              <a:defRPr lang="en-US"/>
            </a:pPr>
            <a:endParaRPr lang="zh-CN"/>
          </a:p>
        </c:txPr>
        <c:crossAx val="98484608"/>
        <c:crosses val="autoZero"/>
        <c:crossBetween val="midCat"/>
        <c:majorUnit val="5"/>
      </c:valAx>
      <c:valAx>
        <c:axId val="98484608"/>
        <c:scaling>
          <c:orientation val="minMax"/>
        </c:scaling>
        <c:delete val="0"/>
        <c:axPos val="l"/>
        <c:majorGridlines/>
        <c:title>
          <c:tx>
            <c:rich>
              <a:bodyPr rot="-5400000" vert="horz"/>
              <a:lstStyle/>
              <a:p>
                <a:pPr>
                  <a:defRPr lang="en-US"/>
                </a:pPr>
                <a:r>
                  <a:rPr lang="el-GR"/>
                  <a:t>α</a:t>
                </a:r>
                <a:endParaRPr lang="en-US"/>
              </a:p>
            </c:rich>
          </c:tx>
          <c:layout>
            <c:manualLayout>
              <c:xMode val="edge"/>
              <c:yMode val="edge"/>
              <c:x val="9.1157048521389606E-3"/>
              <c:y val="0.39232366286593146"/>
            </c:manualLayout>
          </c:layout>
          <c:overlay val="0"/>
        </c:title>
        <c:numFmt formatCode="#,##0.00" sourceLinked="0"/>
        <c:majorTickMark val="out"/>
        <c:minorTickMark val="none"/>
        <c:tickLblPos val="nextTo"/>
        <c:txPr>
          <a:bodyPr/>
          <a:lstStyle/>
          <a:p>
            <a:pPr>
              <a:defRPr lang="en-US"/>
            </a:pPr>
            <a:endParaRPr lang="zh-CN"/>
          </a:p>
        </c:txPr>
        <c:crossAx val="98470144"/>
        <c:crosses val="autoZero"/>
        <c:crossBetween val="midCat"/>
      </c:valAx>
      <c:valAx>
        <c:axId val="98486528"/>
        <c:scaling>
          <c:orientation val="minMax"/>
        </c:scaling>
        <c:delete val="0"/>
        <c:axPos val="r"/>
        <c:title>
          <c:tx>
            <c:rich>
              <a:bodyPr rot="-5400000" vert="horz"/>
              <a:lstStyle/>
              <a:p>
                <a:pPr>
                  <a:defRPr lang="en-US"/>
                </a:pPr>
                <a:r>
                  <a:rPr lang="el-GR"/>
                  <a:t>β</a:t>
                </a:r>
                <a:endParaRPr lang="en-US"/>
              </a:p>
            </c:rich>
          </c:tx>
          <c:overlay val="0"/>
        </c:title>
        <c:numFmt formatCode="0.0000" sourceLinked="1"/>
        <c:majorTickMark val="out"/>
        <c:minorTickMark val="none"/>
        <c:tickLblPos val="nextTo"/>
        <c:txPr>
          <a:bodyPr/>
          <a:lstStyle/>
          <a:p>
            <a:pPr>
              <a:defRPr lang="en-US"/>
            </a:pPr>
            <a:endParaRPr lang="zh-CN"/>
          </a:p>
        </c:txPr>
        <c:crossAx val="98496896"/>
        <c:crosses val="max"/>
        <c:crossBetween val="midCat"/>
      </c:valAx>
      <c:valAx>
        <c:axId val="98496896"/>
        <c:scaling>
          <c:orientation val="minMax"/>
        </c:scaling>
        <c:delete val="1"/>
        <c:axPos val="b"/>
        <c:numFmt formatCode="General" sourceLinked="1"/>
        <c:majorTickMark val="out"/>
        <c:minorTickMark val="none"/>
        <c:tickLblPos val="none"/>
        <c:crossAx val="98486528"/>
        <c:crosses val="autoZero"/>
        <c:crossBetween val="midCat"/>
      </c:valAx>
      <c:spPr>
        <a:solidFill>
          <a:schemeClr val="bg1"/>
        </a:solidFill>
      </c:spPr>
    </c:plotArea>
    <c:legend>
      <c:legendPos val="b"/>
      <c:overlay val="0"/>
      <c:txPr>
        <a:bodyPr/>
        <a:lstStyle/>
        <a:p>
          <a:pPr>
            <a:defRPr lang="en-US"/>
          </a:pPr>
          <a:endParaRPr lang="zh-CN"/>
        </a:p>
      </c:txPr>
    </c:legend>
    <c:plotVisOnly val="0"/>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zh-CN" altLang="en-US"/>
              <a:t>观测到的年龄别生育率，智利，</a:t>
            </a:r>
            <a:r>
              <a:rPr lang="en-US" altLang="zh-CN"/>
              <a:t>1972-1991</a:t>
            </a:r>
          </a:p>
        </c:rich>
      </c:tx>
      <c:overlay val="0"/>
    </c:title>
    <c:autoTitleDeleted val="0"/>
    <c:plotArea>
      <c:layout/>
      <c:scatterChart>
        <c:scatterStyle val="lineMarker"/>
        <c:varyColors val="0"/>
        <c:ser>
          <c:idx val="0"/>
          <c:order val="0"/>
          <c:tx>
            <c:strRef>
              <c:f>Method!$O$2</c:f>
              <c:strCache>
                <c:ptCount val="1"/>
                <c:pt idx="0">
                  <c:v>15-19</c:v>
                </c:pt>
              </c:strCache>
            </c:strRef>
          </c:tx>
          <c:marker>
            <c:symbol val="none"/>
          </c:marker>
          <c:xVal>
            <c:numRef>
              <c:f>Method!$N$3:$N$22</c:f>
              <c:numCache>
                <c:formatCode>General</c:formatCode>
                <c:ptCount val="20"/>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numCache>
            </c:numRef>
          </c:xVal>
          <c:yVal>
            <c:numRef>
              <c:f>Method!$O$3:$O$22</c:f>
              <c:numCache>
                <c:formatCode>_ * #,##0.0000_ ;_ * \-#,##0.0000_ ;_ * "-"??_ ;_ @_ </c:formatCode>
                <c:ptCount val="20"/>
                <c:pt idx="0">
                  <c:v>8.0279366715934095E-2</c:v>
                </c:pt>
                <c:pt idx="1">
                  <c:v>7.8856159443458917E-2</c:v>
                </c:pt>
                <c:pt idx="2">
                  <c:v>7.6004081089641851E-2</c:v>
                </c:pt>
                <c:pt idx="3">
                  <c:v>7.2432050617330199E-2</c:v>
                </c:pt>
                <c:pt idx="4">
                  <c:v>6.7863796541644594E-2</c:v>
                </c:pt>
                <c:pt idx="5">
                  <c:v>6.3271418228567383E-2</c:v>
                </c:pt>
                <c:pt idx="6">
                  <c:v>6.3291021999805144E-2</c:v>
                </c:pt>
                <c:pt idx="7">
                  <c:v>6.1042461447940601E-2</c:v>
                </c:pt>
                <c:pt idx="8">
                  <c:v>6.2147811923251549E-2</c:v>
                </c:pt>
                <c:pt idx="9">
                  <c:v>6.3084854306144383E-2</c:v>
                </c:pt>
                <c:pt idx="10">
                  <c:v>6.0320023528798887E-2</c:v>
                </c:pt>
                <c:pt idx="11">
                  <c:v>5.5837561036474664E-2</c:v>
                </c:pt>
                <c:pt idx="12">
                  <c:v>5.8634570485269155E-2</c:v>
                </c:pt>
                <c:pt idx="13">
                  <c:v>5.4992496530047424E-2</c:v>
                </c:pt>
                <c:pt idx="14">
                  <c:v>5.7004312227352145E-2</c:v>
                </c:pt>
                <c:pt idx="15">
                  <c:v>5.7012264464792371E-2</c:v>
                </c:pt>
                <c:pt idx="16">
                  <c:v>6.0264004589802224E-2</c:v>
                </c:pt>
                <c:pt idx="17">
                  <c:v>6.3598527477411376E-2</c:v>
                </c:pt>
                <c:pt idx="18">
                  <c:v>6.4863507203900092E-2</c:v>
                </c:pt>
                <c:pt idx="19">
                  <c:v>6.3387936486077309E-2</c:v>
                </c:pt>
              </c:numCache>
            </c:numRef>
          </c:yVal>
          <c:smooth val="0"/>
          <c:extLst>
            <c:ext xmlns:c16="http://schemas.microsoft.com/office/drawing/2014/chart" uri="{C3380CC4-5D6E-409C-BE32-E72D297353CC}">
              <c16:uniqueId val="{00000000-5E75-483F-BC3B-3A4EAA98DF2C}"/>
            </c:ext>
          </c:extLst>
        </c:ser>
        <c:ser>
          <c:idx val="1"/>
          <c:order val="1"/>
          <c:tx>
            <c:strRef>
              <c:f>Method!$P$2</c:f>
              <c:strCache>
                <c:ptCount val="1"/>
                <c:pt idx="0">
                  <c:v>20-24</c:v>
                </c:pt>
              </c:strCache>
            </c:strRef>
          </c:tx>
          <c:spPr>
            <a:ln>
              <a:solidFill>
                <a:srgbClr val="FF66FF"/>
              </a:solidFill>
              <a:prstDash val="sysDash"/>
            </a:ln>
          </c:spPr>
          <c:marker>
            <c:symbol val="none"/>
          </c:marker>
          <c:xVal>
            <c:numRef>
              <c:f>Method!$N$3:$N$22</c:f>
              <c:numCache>
                <c:formatCode>General</c:formatCode>
                <c:ptCount val="20"/>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numCache>
            </c:numRef>
          </c:xVal>
          <c:yVal>
            <c:numRef>
              <c:f>Method!$P$3:$P$22</c:f>
              <c:numCache>
                <c:formatCode>_ * #,##0.0000_ ;_ * \-#,##0.0000_ ;_ * "-"??_ ;_ @_ </c:formatCode>
                <c:ptCount val="20"/>
                <c:pt idx="0">
                  <c:v>0.18756744852009841</c:v>
                </c:pt>
                <c:pt idx="1">
                  <c:v>0.18516994870677334</c:v>
                </c:pt>
                <c:pt idx="2">
                  <c:v>0.17297823734037548</c:v>
                </c:pt>
                <c:pt idx="3">
                  <c:v>0.15926946613225862</c:v>
                </c:pt>
                <c:pt idx="4">
                  <c:v>0.15069599602229769</c:v>
                </c:pt>
                <c:pt idx="5">
                  <c:v>0.14090921501507722</c:v>
                </c:pt>
                <c:pt idx="6">
                  <c:v>0.13965826257750946</c:v>
                </c:pt>
                <c:pt idx="7">
                  <c:v>0.14000037556446296</c:v>
                </c:pt>
                <c:pt idx="8">
                  <c:v>0.14219801278239058</c:v>
                </c:pt>
                <c:pt idx="9">
                  <c:v>0.14840049035266534</c:v>
                </c:pt>
                <c:pt idx="10">
                  <c:v>0.14354963613253444</c:v>
                </c:pt>
                <c:pt idx="11">
                  <c:v>0.13599487424838888</c:v>
                </c:pt>
                <c:pt idx="12">
                  <c:v>0.140283945172644</c:v>
                </c:pt>
                <c:pt idx="13">
                  <c:v>0.13459717521790857</c:v>
                </c:pt>
                <c:pt idx="14">
                  <c:v>0.13878921384369589</c:v>
                </c:pt>
                <c:pt idx="15">
                  <c:v>0.14054043125245308</c:v>
                </c:pt>
                <c:pt idx="16">
                  <c:v>0.14488332099651138</c:v>
                </c:pt>
                <c:pt idx="17">
                  <c:v>0.14374662144462136</c:v>
                </c:pt>
                <c:pt idx="18">
                  <c:v>0.14062909056996062</c:v>
                </c:pt>
                <c:pt idx="19">
                  <c:v>0.13063475774888791</c:v>
                </c:pt>
              </c:numCache>
            </c:numRef>
          </c:yVal>
          <c:smooth val="0"/>
          <c:extLst>
            <c:ext xmlns:c16="http://schemas.microsoft.com/office/drawing/2014/chart" uri="{C3380CC4-5D6E-409C-BE32-E72D297353CC}">
              <c16:uniqueId val="{00000001-5E75-483F-BC3B-3A4EAA98DF2C}"/>
            </c:ext>
          </c:extLst>
        </c:ser>
        <c:ser>
          <c:idx val="2"/>
          <c:order val="2"/>
          <c:tx>
            <c:strRef>
              <c:f>Method!$Q$2</c:f>
              <c:strCache>
                <c:ptCount val="1"/>
                <c:pt idx="0">
                  <c:v>25-29</c:v>
                </c:pt>
              </c:strCache>
            </c:strRef>
          </c:tx>
          <c:spPr>
            <a:ln>
              <a:prstDash val="dashDot"/>
            </a:ln>
          </c:spPr>
          <c:marker>
            <c:symbol val="none"/>
          </c:marker>
          <c:xVal>
            <c:numRef>
              <c:f>Method!$N$3:$N$22</c:f>
              <c:numCache>
                <c:formatCode>General</c:formatCode>
                <c:ptCount val="20"/>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numCache>
            </c:numRef>
          </c:xVal>
          <c:yVal>
            <c:numRef>
              <c:f>Method!$Q$3:$Q$22</c:f>
              <c:numCache>
                <c:formatCode>_ * #,##0.0000_ ;_ * \-#,##0.0000_ ;_ * "-"??_ ;_ @_ </c:formatCode>
                <c:ptCount val="20"/>
                <c:pt idx="0">
                  <c:v>0.18561085271855474</c:v>
                </c:pt>
                <c:pt idx="1">
                  <c:v>0.17778436500617467</c:v>
                </c:pt>
                <c:pt idx="2">
                  <c:v>0.17081518582753208</c:v>
                </c:pt>
                <c:pt idx="3">
                  <c:v>0.15462895959501508</c:v>
                </c:pt>
                <c:pt idx="4">
                  <c:v>0.14414063385298445</c:v>
                </c:pt>
                <c:pt idx="5">
                  <c:v>0.13048083666107779</c:v>
                </c:pt>
                <c:pt idx="6">
                  <c:v>0.12690759598908502</c:v>
                </c:pt>
                <c:pt idx="7">
                  <c:v>0.12658008898723633</c:v>
                </c:pt>
                <c:pt idx="8">
                  <c:v>0.13228246204088578</c:v>
                </c:pt>
                <c:pt idx="9">
                  <c:v>0.1389201706650543</c:v>
                </c:pt>
                <c:pt idx="10">
                  <c:v>0.14106081507173263</c:v>
                </c:pt>
                <c:pt idx="11">
                  <c:v>0.13192247092494247</c:v>
                </c:pt>
                <c:pt idx="12">
                  <c:v>0.13249843720165502</c:v>
                </c:pt>
                <c:pt idx="13">
                  <c:v>0.13273315285475518</c:v>
                </c:pt>
                <c:pt idx="14">
                  <c:v>0.13619685520872576</c:v>
                </c:pt>
                <c:pt idx="15">
                  <c:v>0.13728710484678136</c:v>
                </c:pt>
                <c:pt idx="16">
                  <c:v>0.14278792166265078</c:v>
                </c:pt>
                <c:pt idx="17">
                  <c:v>0.14321473644787044</c:v>
                </c:pt>
                <c:pt idx="18">
                  <c:v>0.14188299616947495</c:v>
                </c:pt>
                <c:pt idx="19">
                  <c:v>0.13422149485053689</c:v>
                </c:pt>
              </c:numCache>
            </c:numRef>
          </c:yVal>
          <c:smooth val="0"/>
          <c:extLst>
            <c:ext xmlns:c16="http://schemas.microsoft.com/office/drawing/2014/chart" uri="{C3380CC4-5D6E-409C-BE32-E72D297353CC}">
              <c16:uniqueId val="{00000002-5E75-483F-BC3B-3A4EAA98DF2C}"/>
            </c:ext>
          </c:extLst>
        </c:ser>
        <c:ser>
          <c:idx val="3"/>
          <c:order val="3"/>
          <c:tx>
            <c:strRef>
              <c:f>Method!$R$2</c:f>
              <c:strCache>
                <c:ptCount val="1"/>
                <c:pt idx="0">
                  <c:v>30-34</c:v>
                </c:pt>
              </c:strCache>
            </c:strRef>
          </c:tx>
          <c:spPr>
            <a:ln>
              <a:prstDash val="lgDash"/>
            </a:ln>
          </c:spPr>
          <c:marker>
            <c:symbol val="none"/>
          </c:marker>
          <c:xVal>
            <c:numRef>
              <c:f>Method!$N$3:$N$22</c:f>
              <c:numCache>
                <c:formatCode>General</c:formatCode>
                <c:ptCount val="20"/>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numCache>
            </c:numRef>
          </c:xVal>
          <c:yVal>
            <c:numRef>
              <c:f>Method!$R$3:$R$22</c:f>
              <c:numCache>
                <c:formatCode>_ * #,##0.0000_ ;_ * \-#,##0.0000_ ;_ * "-"??_ ;_ @_ </c:formatCode>
                <c:ptCount val="20"/>
                <c:pt idx="0">
                  <c:v>0.13534539075872828</c:v>
                </c:pt>
                <c:pt idx="1">
                  <c:v>0.12942048999266095</c:v>
                </c:pt>
                <c:pt idx="2">
                  <c:v>0.12315049696036588</c:v>
                </c:pt>
                <c:pt idx="3">
                  <c:v>0.11275749581335222</c:v>
                </c:pt>
                <c:pt idx="4">
                  <c:v>0.10377553405257232</c:v>
                </c:pt>
                <c:pt idx="5">
                  <c:v>9.4659672585823681E-2</c:v>
                </c:pt>
                <c:pt idx="6">
                  <c:v>9.052750582826144E-2</c:v>
                </c:pt>
                <c:pt idx="7">
                  <c:v>8.9488400131838439E-2</c:v>
                </c:pt>
                <c:pt idx="8">
                  <c:v>8.9821446401516111E-2</c:v>
                </c:pt>
                <c:pt idx="9">
                  <c:v>9.3876290349587943E-2</c:v>
                </c:pt>
                <c:pt idx="10">
                  <c:v>9.5544597896061373E-2</c:v>
                </c:pt>
                <c:pt idx="11">
                  <c:v>8.9881346352699898E-2</c:v>
                </c:pt>
                <c:pt idx="12">
                  <c:v>9.0332309208045566E-2</c:v>
                </c:pt>
                <c:pt idx="13">
                  <c:v>8.8683193347175351E-2</c:v>
                </c:pt>
                <c:pt idx="14">
                  <c:v>9.1444038224517132E-2</c:v>
                </c:pt>
                <c:pt idx="15">
                  <c:v>9.3176476371316971E-2</c:v>
                </c:pt>
                <c:pt idx="16">
                  <c:v>9.6302161935346228E-2</c:v>
                </c:pt>
                <c:pt idx="17">
                  <c:v>9.7796937717855539E-2</c:v>
                </c:pt>
                <c:pt idx="18">
                  <c:v>9.80986836716361E-2</c:v>
                </c:pt>
                <c:pt idx="19">
                  <c:v>9.5422187729444413E-2</c:v>
                </c:pt>
              </c:numCache>
            </c:numRef>
          </c:yVal>
          <c:smooth val="0"/>
          <c:extLst>
            <c:ext xmlns:c16="http://schemas.microsoft.com/office/drawing/2014/chart" uri="{C3380CC4-5D6E-409C-BE32-E72D297353CC}">
              <c16:uniqueId val="{00000003-5E75-483F-BC3B-3A4EAA98DF2C}"/>
            </c:ext>
          </c:extLst>
        </c:ser>
        <c:dLbls>
          <c:showLegendKey val="0"/>
          <c:showVal val="0"/>
          <c:showCatName val="0"/>
          <c:showSerName val="0"/>
          <c:showPercent val="0"/>
          <c:showBubbleSize val="0"/>
        </c:dLbls>
        <c:axId val="99021184"/>
        <c:axId val="99023104"/>
      </c:scatterChart>
      <c:valAx>
        <c:axId val="99021184"/>
        <c:scaling>
          <c:orientation val="minMax"/>
        </c:scaling>
        <c:delete val="0"/>
        <c:axPos val="b"/>
        <c:title>
          <c:tx>
            <c:rich>
              <a:bodyPr/>
              <a:lstStyle/>
              <a:p>
                <a:pPr>
                  <a:defRPr lang="en-US"/>
                </a:pPr>
                <a:r>
                  <a:rPr lang="zh-CN" altLang="en-US"/>
                  <a:t>年份</a:t>
                </a:r>
                <a:endParaRPr lang="en-US"/>
              </a:p>
            </c:rich>
          </c:tx>
          <c:overlay val="0"/>
        </c:title>
        <c:numFmt formatCode="General" sourceLinked="1"/>
        <c:majorTickMark val="out"/>
        <c:minorTickMark val="none"/>
        <c:tickLblPos val="nextTo"/>
        <c:txPr>
          <a:bodyPr/>
          <a:lstStyle/>
          <a:p>
            <a:pPr>
              <a:defRPr lang="en-US"/>
            </a:pPr>
            <a:endParaRPr lang="zh-CN"/>
          </a:p>
        </c:txPr>
        <c:crossAx val="99023104"/>
        <c:crosses val="autoZero"/>
        <c:crossBetween val="midCat"/>
        <c:majorUnit val="5"/>
      </c:valAx>
      <c:valAx>
        <c:axId val="99023104"/>
        <c:scaling>
          <c:orientation val="minMax"/>
        </c:scaling>
        <c:delete val="0"/>
        <c:axPos val="l"/>
        <c:majorGridlines/>
        <c:numFmt formatCode="#,##0.00" sourceLinked="0"/>
        <c:majorTickMark val="out"/>
        <c:minorTickMark val="none"/>
        <c:tickLblPos val="nextTo"/>
        <c:txPr>
          <a:bodyPr/>
          <a:lstStyle/>
          <a:p>
            <a:pPr>
              <a:defRPr lang="en-US"/>
            </a:pPr>
            <a:endParaRPr lang="zh-CN"/>
          </a:p>
        </c:txPr>
        <c:crossAx val="99021184"/>
        <c:crosses val="autoZero"/>
        <c:crossBetween val="midCat"/>
      </c:valAx>
      <c:spPr>
        <a:solidFill>
          <a:schemeClr val="bg1"/>
        </a:solidFill>
      </c:spPr>
    </c:plotArea>
    <c:legend>
      <c:legendPos val="b"/>
      <c:overlay val="0"/>
      <c:txPr>
        <a:bodyPr/>
        <a:lstStyle/>
        <a:p>
          <a:pPr>
            <a:defRPr lang="en-US"/>
          </a:pPr>
          <a:endParaRPr lang="zh-CN"/>
        </a:p>
      </c:txPr>
    </c:legend>
    <c:plotVisOnly val="0"/>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16</xdr:col>
      <xdr:colOff>46425</xdr:colOff>
      <xdr:row>30</xdr:row>
      <xdr:rowOff>138078</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608400</xdr:colOff>
      <xdr:row>30</xdr:row>
      <xdr:rowOff>138078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demographicestimation.iussp.org/content/cohort-parity-comparison-vital-registration-data" TargetMode="External"/><Relationship Id="rId1" Type="http://schemas.openxmlformats.org/officeDocument/2006/relationships/hyperlink" Target="http://demographicestimation.iussp.org/user/?destination=content/cohort-parity-comparison-vital-registration-dat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tabSelected="1" workbookViewId="0">
      <selection activeCell="B8" sqref="B8"/>
    </sheetView>
  </sheetViews>
  <sheetFormatPr defaultColWidth="9.109375" defaultRowHeight="15" x14ac:dyDescent="0.25"/>
  <cols>
    <col min="1" max="1" width="6.6640625" style="47" customWidth="1"/>
    <col min="2" max="2" width="106" style="50" customWidth="1"/>
    <col min="3" max="3" width="9.109375" style="47"/>
    <col min="4" max="4" width="25.5546875" style="48" customWidth="1"/>
    <col min="5" max="5" width="34.33203125" style="49" customWidth="1"/>
    <col min="6" max="6" width="9.109375" style="47" customWidth="1"/>
    <col min="7" max="16384" width="9.109375" style="47"/>
  </cols>
  <sheetData>
    <row r="1" spans="1:5" ht="21" customHeight="1" x14ac:dyDescent="0.25">
      <c r="A1" s="81" t="s">
        <v>52</v>
      </c>
      <c r="B1" s="82"/>
    </row>
    <row r="3" spans="1:5" x14ac:dyDescent="0.25">
      <c r="A3" s="74" t="s">
        <v>54</v>
      </c>
      <c r="B3" s="74"/>
    </row>
    <row r="4" spans="1:5" x14ac:dyDescent="0.25">
      <c r="A4" s="75" t="s">
        <v>18</v>
      </c>
      <c r="B4" s="76"/>
      <c r="C4" s="1"/>
    </row>
    <row r="6" spans="1:5" ht="32.4" customHeight="1" x14ac:dyDescent="0.25">
      <c r="A6" s="77" t="s">
        <v>60</v>
      </c>
      <c r="B6" s="77"/>
    </row>
    <row r="7" spans="1:5" x14ac:dyDescent="0.25">
      <c r="A7" s="48"/>
    </row>
    <row r="8" spans="1:5" ht="15" customHeight="1" thickBot="1" x14ac:dyDescent="0.35">
      <c r="A8" s="51" t="s">
        <v>53</v>
      </c>
    </row>
    <row r="9" spans="1:5" ht="15.75" customHeight="1" x14ac:dyDescent="0.3">
      <c r="A9" s="52">
        <v>1</v>
      </c>
      <c r="B9" s="53" t="s">
        <v>55</v>
      </c>
      <c r="C9" s="48"/>
      <c r="D9" s="54" t="s">
        <v>30</v>
      </c>
      <c r="E9" s="58" t="s">
        <v>32</v>
      </c>
    </row>
    <row r="10" spans="1:5" x14ac:dyDescent="0.25">
      <c r="A10" s="52"/>
      <c r="B10" s="53"/>
      <c r="C10" s="48"/>
      <c r="D10" s="55"/>
      <c r="E10" s="62"/>
    </row>
    <row r="11" spans="1:5" ht="15.6" thickBot="1" x14ac:dyDescent="0.3">
      <c r="A11" s="52">
        <v>2</v>
      </c>
      <c r="B11" s="53" t="s">
        <v>51</v>
      </c>
      <c r="C11" s="48"/>
      <c r="D11" s="56" t="s">
        <v>31</v>
      </c>
      <c r="E11" s="59" t="s">
        <v>50</v>
      </c>
    </row>
    <row r="12" spans="1:5" x14ac:dyDescent="0.25">
      <c r="A12" s="52"/>
      <c r="B12" s="53"/>
      <c r="C12" s="48"/>
    </row>
    <row r="13" spans="1:5" ht="15.6" x14ac:dyDescent="0.3">
      <c r="A13" s="52">
        <v>3</v>
      </c>
      <c r="B13" s="53" t="s">
        <v>56</v>
      </c>
      <c r="C13" s="48"/>
    </row>
    <row r="14" spans="1:5" x14ac:dyDescent="0.25">
      <c r="A14" s="52"/>
      <c r="B14" s="53"/>
      <c r="C14" s="48"/>
    </row>
    <row r="15" spans="1:5" ht="15.6" x14ac:dyDescent="0.3">
      <c r="A15" s="52">
        <v>4</v>
      </c>
      <c r="B15" s="53" t="s">
        <v>57</v>
      </c>
      <c r="C15" s="48"/>
    </row>
    <row r="16" spans="1:5" x14ac:dyDescent="0.25">
      <c r="A16" s="52"/>
      <c r="B16" s="53"/>
      <c r="C16" s="48"/>
    </row>
    <row r="17" spans="1:3" ht="30.6" x14ac:dyDescent="0.25">
      <c r="A17" s="52">
        <v>5</v>
      </c>
      <c r="B17" s="53" t="s">
        <v>58</v>
      </c>
      <c r="C17" s="48"/>
    </row>
    <row r="18" spans="1:3" x14ac:dyDescent="0.25">
      <c r="A18" s="52"/>
      <c r="B18" s="53"/>
      <c r="C18" s="48"/>
    </row>
    <row r="19" spans="1:3" ht="18" customHeight="1" x14ac:dyDescent="0.3">
      <c r="A19" s="52">
        <v>6</v>
      </c>
      <c r="B19" s="53" t="s">
        <v>59</v>
      </c>
      <c r="C19" s="48"/>
    </row>
    <row r="20" spans="1:3" x14ac:dyDescent="0.25">
      <c r="A20" s="52"/>
      <c r="B20" s="53"/>
      <c r="C20" s="48"/>
    </row>
    <row r="21" spans="1:3" x14ac:dyDescent="0.25">
      <c r="A21" s="52"/>
      <c r="B21" s="53"/>
      <c r="C21" s="48"/>
    </row>
    <row r="22" spans="1:3" x14ac:dyDescent="0.25">
      <c r="A22" s="52"/>
      <c r="B22" s="53"/>
      <c r="C22" s="48"/>
    </row>
    <row r="23" spans="1:3" x14ac:dyDescent="0.25">
      <c r="A23" s="52"/>
      <c r="B23" s="53"/>
    </row>
    <row r="24" spans="1:3" x14ac:dyDescent="0.25">
      <c r="A24" s="57"/>
    </row>
    <row r="25" spans="1:3" x14ac:dyDescent="0.25">
      <c r="A25" s="52"/>
      <c r="B25" s="53"/>
    </row>
  </sheetData>
  <sheetProtection selectLockedCells="1"/>
  <mergeCells count="4">
    <mergeCell ref="A1:B1"/>
    <mergeCell ref="A3:B3"/>
    <mergeCell ref="A4:B4"/>
    <mergeCell ref="A6:B6"/>
  </mergeCells>
  <phoneticPr fontId="26" type="noConversion"/>
  <dataValidations count="2">
    <dataValidation type="list" showInputMessage="1" showErrorMessage="1" error="Select value from drop down list" sqref="E11">
      <formula1>smoothed</formula1>
    </dataValidation>
    <dataValidation type="list" showDropDown="1" showInputMessage="1" showErrorMessage="1" sqref="A4:B4">
      <formula1>"http://demographicestimation.iussp.org/content/cohort-parity-comparison-vital-registration-data"</formula1>
    </dataValidation>
  </dataValidations>
  <hyperlinks>
    <hyperlink ref="A4:B4" r:id="rId1" display="http://demographicestimation.iussp.org/user/?destination=content/cohort-parity-comparison-vital-registration-data"/>
    <hyperlink ref="A4" r:id="rId2"/>
  </hyperlinks>
  <pageMargins left="0.7" right="0.7" top="0.75" bottom="0.75" header="0.3" footer="0.3"/>
  <pageSetup paperSize="9" orientation="portrait" verticalDpi="200" r:id="rId3"/>
  <extLst>
    <ext xmlns:x14="http://schemas.microsoft.com/office/spreadsheetml/2009/9/main" uri="{CCE6A557-97BC-4b89-ADB6-D9C93CAAB3DF}">
      <x14:dataValidations xmlns:xm="http://schemas.microsoft.com/office/excel/2006/main" count="1">
        <x14:dataValidation type="list" allowBlank="1" showInputMessage="1" showErrorMessage="1" prompt="If the plots of alpha and beta are strongly linear, it may be preferable to use a smoothed progression of alpha and beta. If (as they are in the example given), the relationship is far from linear, do NOT smooth the alphas and betas.">
          <x14:formula1>
            <xm:f>Method!#REF!</xm:f>
          </x14:formula1>
          <xm:sqref>E11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91"/>
  <sheetViews>
    <sheetView workbookViewId="0">
      <selection activeCell="CM20" sqref="CM20"/>
    </sheetView>
  </sheetViews>
  <sheetFormatPr defaultColWidth="9.109375" defaultRowHeight="13.2" x14ac:dyDescent="0.25"/>
  <cols>
    <col min="1" max="1" width="47.6640625" style="2" customWidth="1"/>
    <col min="2" max="6" width="12" style="2" bestFit="1" customWidth="1"/>
    <col min="7" max="7" width="1.6640625" style="2" customWidth="1"/>
    <col min="8" max="8" width="12.88671875" style="2" customWidth="1"/>
    <col min="9" max="12" width="11.33203125" style="2" customWidth="1"/>
    <col min="13" max="13" width="1.6640625" style="2" customWidth="1"/>
    <col min="14" max="14" width="9.109375" style="2" customWidth="1"/>
    <col min="15" max="15" width="10.6640625" style="2" customWidth="1"/>
    <col min="16" max="16" width="9.5546875" style="2" customWidth="1"/>
    <col min="17" max="18" width="9.109375" style="2" customWidth="1"/>
    <col min="19" max="19" width="1.6640625" style="2" customWidth="1"/>
    <col min="20" max="24" width="9.109375" style="2"/>
    <col min="25" max="25" width="1.6640625" style="2" customWidth="1"/>
    <col min="26" max="29" width="9.109375" style="2"/>
    <col min="30" max="30" width="1.6640625" style="2" customWidth="1"/>
    <col min="31" max="34" width="9.109375" style="2"/>
    <col min="35" max="35" width="1.6640625" style="2" customWidth="1"/>
    <col min="36" max="39" width="9.109375" style="2"/>
    <col min="40" max="40" width="1.6640625" style="2" customWidth="1"/>
    <col min="41" max="42" width="9.109375" style="2"/>
    <col min="43" max="43" width="1.6640625" style="2" customWidth="1"/>
    <col min="44" max="45" width="9.109375" style="2"/>
    <col min="46" max="46" width="1.6640625" style="2" customWidth="1"/>
    <col min="47" max="50" width="9.109375" style="2"/>
    <col min="51" max="51" width="1.6640625" style="2" customWidth="1"/>
    <col min="52" max="52" width="9.109375" style="2"/>
    <col min="53" max="56" width="7.5546875" style="2" bestFit="1" customWidth="1"/>
    <col min="57" max="77" width="6.5546875" style="2" bestFit="1" customWidth="1"/>
    <col min="78" max="78" width="1.6640625" style="5" customWidth="1"/>
    <col min="79" max="83" width="9.109375" style="2"/>
    <col min="84" max="84" width="1.6640625" style="2" customWidth="1"/>
    <col min="85" max="85" width="9.109375" style="2"/>
    <col min="86" max="86" width="11.5546875" style="2" bestFit="1" customWidth="1"/>
    <col min="87" max="87" width="9.5546875" style="2" bestFit="1" customWidth="1"/>
    <col min="88" max="88" width="1.6640625" style="2" customWidth="1"/>
    <col min="89" max="16384" width="9.109375" style="2"/>
  </cols>
  <sheetData>
    <row r="1" spans="1:97" ht="14.4" x14ac:dyDescent="0.25">
      <c r="H1" s="65" t="s">
        <v>19</v>
      </c>
      <c r="I1" s="37"/>
      <c r="J1" s="38"/>
      <c r="K1" s="38"/>
      <c r="L1" s="38"/>
      <c r="N1" s="65" t="s">
        <v>39</v>
      </c>
      <c r="O1" s="36"/>
      <c r="P1" s="36"/>
      <c r="Q1" s="36"/>
      <c r="R1" s="36"/>
      <c r="T1" s="65" t="s">
        <v>40</v>
      </c>
      <c r="U1" s="36"/>
      <c r="V1" s="36"/>
      <c r="W1" s="36"/>
      <c r="X1" s="36"/>
      <c r="Z1" s="65" t="s">
        <v>41</v>
      </c>
      <c r="AA1" s="36"/>
      <c r="AB1" s="36"/>
      <c r="AC1" s="36"/>
      <c r="AE1" s="65" t="s">
        <v>42</v>
      </c>
      <c r="AF1" s="31"/>
      <c r="AG1" s="31"/>
      <c r="AH1" s="31"/>
      <c r="AJ1" s="64" t="s">
        <v>43</v>
      </c>
      <c r="AK1" s="31"/>
      <c r="AL1" s="31"/>
      <c r="AM1" s="31"/>
      <c r="AO1" s="31"/>
      <c r="AP1" s="31"/>
      <c r="AR1" s="65" t="s">
        <v>44</v>
      </c>
      <c r="AS1" s="31"/>
      <c r="AU1" s="65" t="s">
        <v>45</v>
      </c>
      <c r="AV1" s="31"/>
      <c r="AW1" s="31"/>
      <c r="AX1" s="31"/>
      <c r="AZ1" s="65" t="s">
        <v>46</v>
      </c>
      <c r="BA1" s="31"/>
      <c r="BB1" s="31"/>
      <c r="BC1" s="31"/>
      <c r="BD1" s="31"/>
      <c r="BE1" s="31"/>
      <c r="BF1" s="31"/>
      <c r="BG1" s="31"/>
      <c r="BH1" s="31"/>
      <c r="BI1" s="31"/>
      <c r="BJ1" s="31"/>
      <c r="BK1" s="31"/>
      <c r="BL1" s="31"/>
      <c r="BM1" s="31"/>
      <c r="BN1" s="31"/>
      <c r="BO1" s="31"/>
      <c r="BP1" s="31"/>
      <c r="BQ1" s="31"/>
      <c r="BR1" s="31"/>
      <c r="BS1" s="31"/>
      <c r="BT1" s="31"/>
      <c r="BU1" s="31"/>
      <c r="BV1" s="31"/>
      <c r="BW1" s="31"/>
      <c r="BX1" s="31"/>
      <c r="BY1" s="31"/>
      <c r="CA1" s="31"/>
      <c r="CB1" s="31" t="str">
        <f>"按" &amp; B6 &amp; "年末年龄分的队列累计生育率"</f>
        <v>按1991年末年龄分的队列累计生育率</v>
      </c>
      <c r="CC1" s="31"/>
      <c r="CD1" s="31"/>
      <c r="CE1" s="31"/>
      <c r="CF1" s="6"/>
      <c r="CG1" s="65" t="s">
        <v>47</v>
      </c>
      <c r="CH1" s="7"/>
      <c r="CI1" s="8"/>
    </row>
    <row r="2" spans="1:97" ht="14.4" x14ac:dyDescent="0.25">
      <c r="A2" s="67" t="str">
        <f>Introduction!E9 &amp; "人口普查日期和人口数"</f>
        <v>智利人口普查日期和人口数</v>
      </c>
      <c r="B2" s="42"/>
      <c r="C2" s="43" t="s">
        <v>0</v>
      </c>
      <c r="D2" s="43" t="s">
        <v>1</v>
      </c>
      <c r="E2" s="43" t="s">
        <v>2</v>
      </c>
      <c r="F2" s="43" t="s">
        <v>3</v>
      </c>
      <c r="H2" s="66" t="s">
        <v>20</v>
      </c>
      <c r="I2" s="43" t="s">
        <v>0</v>
      </c>
      <c r="J2" s="43" t="s">
        <v>1</v>
      </c>
      <c r="K2" s="43" t="s">
        <v>2</v>
      </c>
      <c r="L2" s="43" t="s">
        <v>3</v>
      </c>
      <c r="N2" s="66" t="s">
        <v>20</v>
      </c>
      <c r="O2" s="43" t="s">
        <v>0</v>
      </c>
      <c r="P2" s="43" t="s">
        <v>1</v>
      </c>
      <c r="Q2" s="43" t="s">
        <v>2</v>
      </c>
      <c r="R2" s="43" t="s">
        <v>3</v>
      </c>
      <c r="T2" s="66" t="s">
        <v>20</v>
      </c>
      <c r="U2" s="43">
        <v>20</v>
      </c>
      <c r="V2" s="43">
        <v>25</v>
      </c>
      <c r="W2" s="43">
        <v>30</v>
      </c>
      <c r="X2" s="43">
        <v>35</v>
      </c>
      <c r="Z2" s="66" t="s">
        <v>20</v>
      </c>
      <c r="AA2" s="43">
        <v>20</v>
      </c>
      <c r="AB2" s="43">
        <v>25</v>
      </c>
      <c r="AC2" s="43">
        <v>30</v>
      </c>
      <c r="AE2" s="66" t="s">
        <v>20</v>
      </c>
      <c r="AF2" s="43">
        <v>20</v>
      </c>
      <c r="AG2" s="43">
        <v>25</v>
      </c>
      <c r="AH2" s="43">
        <v>30</v>
      </c>
      <c r="AJ2" s="66" t="s">
        <v>20</v>
      </c>
      <c r="AK2" s="43">
        <v>20</v>
      </c>
      <c r="AL2" s="43">
        <v>25</v>
      </c>
      <c r="AM2" s="43">
        <v>30</v>
      </c>
      <c r="AO2" s="43" t="s">
        <v>28</v>
      </c>
      <c r="AP2" s="43" t="s">
        <v>29</v>
      </c>
      <c r="AR2" s="43" t="s">
        <v>28</v>
      </c>
      <c r="AS2" s="43" t="s">
        <v>29</v>
      </c>
      <c r="AU2" s="43">
        <v>25</v>
      </c>
      <c r="AV2" s="43">
        <v>30</v>
      </c>
      <c r="AW2" s="43">
        <v>35</v>
      </c>
      <c r="AX2" s="66" t="s">
        <v>27</v>
      </c>
      <c r="AZ2" s="43"/>
      <c r="BA2" s="43">
        <v>10</v>
      </c>
      <c r="BB2" s="43">
        <v>11</v>
      </c>
      <c r="BC2" s="43">
        <v>12</v>
      </c>
      <c r="BD2" s="43">
        <v>13</v>
      </c>
      <c r="BE2" s="43">
        <v>14</v>
      </c>
      <c r="BF2" s="43">
        <v>15</v>
      </c>
      <c r="BG2" s="43">
        <v>16</v>
      </c>
      <c r="BH2" s="43">
        <v>17</v>
      </c>
      <c r="BI2" s="43">
        <v>18</v>
      </c>
      <c r="BJ2" s="43">
        <v>19</v>
      </c>
      <c r="BK2" s="43">
        <v>20</v>
      </c>
      <c r="BL2" s="43">
        <v>21</v>
      </c>
      <c r="BM2" s="43">
        <v>22</v>
      </c>
      <c r="BN2" s="43">
        <v>23</v>
      </c>
      <c r="BO2" s="43">
        <v>24</v>
      </c>
      <c r="BP2" s="43">
        <v>25</v>
      </c>
      <c r="BQ2" s="43">
        <v>26</v>
      </c>
      <c r="BR2" s="43">
        <v>27</v>
      </c>
      <c r="BS2" s="43">
        <v>28</v>
      </c>
      <c r="BT2" s="43">
        <v>29</v>
      </c>
      <c r="BU2" s="43">
        <v>30</v>
      </c>
      <c r="BV2" s="43">
        <v>31</v>
      </c>
      <c r="BW2" s="43">
        <v>32</v>
      </c>
      <c r="BX2" s="43">
        <v>33</v>
      </c>
      <c r="BY2" s="43">
        <v>34</v>
      </c>
      <c r="CA2" s="43"/>
      <c r="CB2" s="43" t="s">
        <v>0</v>
      </c>
      <c r="CC2" s="43" t="s">
        <v>1</v>
      </c>
      <c r="CD2" s="43" t="s">
        <v>2</v>
      </c>
      <c r="CE2" s="43" t="s">
        <v>3</v>
      </c>
      <c r="CF2" s="5"/>
      <c r="CG2" s="31"/>
      <c r="CH2" s="31" t="s">
        <v>4</v>
      </c>
      <c r="CI2" s="31" t="s">
        <v>5</v>
      </c>
      <c r="CK2" s="64" t="s">
        <v>48</v>
      </c>
      <c r="CL2" s="31"/>
      <c r="CN2" s="31"/>
      <c r="CO2" s="31"/>
      <c r="CP2" s="31"/>
      <c r="CQ2" s="31"/>
      <c r="CR2" s="31"/>
      <c r="CS2" s="31"/>
    </row>
    <row r="3" spans="1:97" ht="14.4" x14ac:dyDescent="0.25">
      <c r="A3" s="68">
        <v>25680</v>
      </c>
      <c r="B3" s="10">
        <f>YEAR(A3)+YEARFRAC(DATE(YEAR(A3),1,0),A3-1,1)</f>
        <v>1970.304109589041</v>
      </c>
      <c r="C3" s="60">
        <v>466736</v>
      </c>
      <c r="D3" s="60">
        <v>398383</v>
      </c>
      <c r="E3" s="60">
        <v>324130</v>
      </c>
      <c r="F3" s="60">
        <v>267312</v>
      </c>
      <c r="H3" s="31">
        <f t="shared" ref="H3:H22" si="0">B17</f>
        <v>1972</v>
      </c>
      <c r="I3" s="27">
        <f t="shared" ref="I3:I22" si="1">IF($H3+0.5&lt;$B$4,C$3,C$4)*EXP(IF($H3+0.5&lt;$B$4,C$9,C$10)*($H3+0.5-IF($H3+0.5&lt;$B$4,$B$3,$B$4)))</f>
        <v>496254.5374949082</v>
      </c>
      <c r="J3" s="27">
        <f t="shared" ref="J3:J22" si="2">IF($H3&lt;$B$4,D$3,D$4)*EXP(IF($H3&lt;$B$4,D$9,D$10)*($H3+0.5-IF($H3&lt;$B$4,$B$3,$B$4)))</f>
        <v>428805.74766352214</v>
      </c>
      <c r="K3" s="27">
        <f t="shared" ref="K3:K22" si="3">IF($H3&lt;$B$4,E$3,E$4)*EXP(IF($H3&lt;$B$4,E$9,E$10)*($H3+0.5-IF($H3&lt;$B$4,$B$3,$B$4)))</f>
        <v>348169.2964257354</v>
      </c>
      <c r="L3" s="27">
        <f t="shared" ref="L3:L22" si="4">IF($H3&lt;$B$4,F$3,F$4)*EXP(IF($H3&lt;$B$4,F$9,F$10)*($H3+0.5-IF($H3&lt;$B$4,$B$3,$B$4)))</f>
        <v>287686.19146706327</v>
      </c>
      <c r="N3" s="31">
        <f t="shared" ref="N3:N22" si="5">H3</f>
        <v>1972</v>
      </c>
      <c r="O3" s="12">
        <f t="shared" ref="O3:O22" si="6">C17/I3</f>
        <v>8.0279366715934095E-2</v>
      </c>
      <c r="P3" s="12">
        <f t="shared" ref="P3:P22" si="7">D17/J3</f>
        <v>0.18756744852009841</v>
      </c>
      <c r="Q3" s="12">
        <f t="shared" ref="Q3:Q22" si="8">E17/K3</f>
        <v>0.18561085271855474</v>
      </c>
      <c r="R3" s="12">
        <f t="shared" ref="R3:R22" si="9">F17/L3</f>
        <v>0.13534539075872828</v>
      </c>
      <c r="T3" s="31">
        <f t="shared" ref="T3:T22" si="10">N3</f>
        <v>1972</v>
      </c>
      <c r="U3" s="14">
        <f>5*SUM($O3:O3)</f>
        <v>0.40139683357967049</v>
      </c>
      <c r="V3" s="14">
        <f>5*SUM($O3:P3)</f>
        <v>1.3392340761801624</v>
      </c>
      <c r="W3" s="14">
        <f>5*SUM($O3:Q3)</f>
        <v>2.2672883397729358</v>
      </c>
      <c r="X3" s="14">
        <f>5*SUM($O3:R3)</f>
        <v>2.9440152935665775</v>
      </c>
      <c r="Z3" s="31">
        <f>T3</f>
        <v>1972</v>
      </c>
      <c r="AA3" s="14">
        <f>U3/V3</f>
        <v>0.29972119192528074</v>
      </c>
      <c r="AB3" s="14">
        <f t="shared" ref="AB3:AB22" si="11">V3/W3</f>
        <v>0.59067655960965426</v>
      </c>
      <c r="AC3" s="14">
        <f t="shared" ref="AC3:AC22" si="12">W3/X3</f>
        <v>0.77013470165305786</v>
      </c>
      <c r="AD3" s="15"/>
      <c r="AE3" s="31">
        <f>Z3</f>
        <v>1972</v>
      </c>
      <c r="AF3" s="14">
        <f>-LN(-LN(AA3))</f>
        <v>-0.18639873105970975</v>
      </c>
      <c r="AG3" s="14">
        <f t="shared" ref="AG3:AG22" si="13">-LN(-LN(AB3))</f>
        <v>0.64152923196200351</v>
      </c>
      <c r="AH3" s="14">
        <f t="shared" ref="AH3:AH22" si="14">-LN(-LN(AC3))</f>
        <v>1.342507771224362</v>
      </c>
      <c r="AJ3" s="31">
        <f t="shared" ref="AJ3:AJ22" si="15">H3</f>
        <v>1972</v>
      </c>
      <c r="AK3" s="14">
        <f t="shared" ref="AK3:AK22" si="16">AF3-$CR$5</f>
        <v>-1.5403071301934634</v>
      </c>
      <c r="AL3" s="14">
        <f t="shared" ref="AL3:AL22" si="17">AG3-$CR$6</f>
        <v>-0.77119748234286478</v>
      </c>
      <c r="AM3" s="14">
        <f t="shared" ref="AM3:AM22" si="18">AH3-$CR$7</f>
        <v>6.7514170097295878E-2</v>
      </c>
      <c r="AO3" s="13">
        <f t="shared" ref="AO3:AO22" si="19">INTERCEPT(AK3:AM3,$AK$24:$AM$24)-(AP3-1)^2*($CQ$12/2)</f>
        <v>4.9303096207488732E-3</v>
      </c>
      <c r="AP3" s="13">
        <f>SLOPE(AK3:AM3,$AK$24:$AM$24)</f>
        <v>1.1366887612459466</v>
      </c>
      <c r="AQ3" s="13"/>
      <c r="AR3" s="13">
        <f t="shared" ref="AR3:AR22" si="20">IF($CM$19=1,AO3,$AW$27+$AV$27*$AJ3)</f>
        <v>4.9303096207488732E-3</v>
      </c>
      <c r="AS3" s="13">
        <f t="shared" ref="AS3:AS22" si="21">IF($CM$19=1,AP3,$AW$28+$AV$28*$AJ3)</f>
        <v>1.1366887612459466</v>
      </c>
      <c r="AU3" s="13">
        <f t="shared" ref="AU3:AU22" si="22">V3/(EXP(-EXP(-$AR3-$AS3*VLOOKUP(AU$2,$CG$4:$CI$91,2))))</f>
        <v>3.5204783348375401</v>
      </c>
      <c r="AV3" s="13">
        <f t="shared" ref="AV3:AV22" si="23">W3/(EXP(-EXP(-$AR3-$AS3*VLOOKUP(AV$2,$CG$4:$CI$91,2))))</f>
        <v>3.5524532234207364</v>
      </c>
      <c r="AW3" s="13">
        <f t="shared" ref="AW3:AW22" si="24">X3/(EXP(-EXP(-$AR3-$AS3*VLOOKUP(AW$2,$CG$4:$CI$91,2))))</f>
        <v>3.5433592460607772</v>
      </c>
      <c r="AX3" s="13">
        <f>AVERAGE(AU3:AW3)</f>
        <v>3.5387636014396846</v>
      </c>
      <c r="AZ3" s="31">
        <f t="shared" ref="AZ3:AZ22" si="25">H3</f>
        <v>1972</v>
      </c>
      <c r="BA3" s="16">
        <v>0</v>
      </c>
      <c r="BB3" s="13">
        <f t="shared" ref="BB3:BK12" si="26">$AX3*(EXP(-(EXP(-$AO3-$AP3*VLOOKUP(BB$2+1,$CG$4:$CI$91,2))))-EXP(-EXP(-$AO3-$AP3*VLOOKUP(BB$2,$CG$4:$CI$91,2))))</f>
        <v>6.126126489316211E-10</v>
      </c>
      <c r="BC3" s="13">
        <f t="shared" si="26"/>
        <v>1.4710838641332267E-6</v>
      </c>
      <c r="BD3" s="13">
        <f t="shared" si="26"/>
        <v>1.4058990552471128E-4</v>
      </c>
      <c r="BE3" s="13">
        <f t="shared" si="26"/>
        <v>2.2697470792523819E-3</v>
      </c>
      <c r="BF3" s="16">
        <f t="shared" si="26"/>
        <v>1.3094910764764536E-2</v>
      </c>
      <c r="BG3" s="13">
        <f t="shared" si="26"/>
        <v>4.1796426062544925E-2</v>
      </c>
      <c r="BH3" s="13">
        <f t="shared" si="26"/>
        <v>7.8126904221286556E-2</v>
      </c>
      <c r="BI3" s="13">
        <f t="shared" si="26"/>
        <v>0.11642561032820756</v>
      </c>
      <c r="BJ3" s="13">
        <f t="shared" si="26"/>
        <v>0.14683179805604904</v>
      </c>
      <c r="BK3" s="16">
        <f t="shared" si="26"/>
        <v>0.17221002610293565</v>
      </c>
      <c r="BL3" s="13">
        <f t="shared" ref="BL3:BY12" si="27">$AX3*(EXP(-(EXP(-$AO3-$AP3*VLOOKUP(BL$2+1,$CG$4:$CI$91,2))))-EXP(-EXP(-$AO3-$AP3*VLOOKUP(BL$2,$CG$4:$CI$91,2))))</f>
        <v>0.18636225358403261</v>
      </c>
      <c r="BM3" s="13">
        <f t="shared" si="27"/>
        <v>0.19424877224629011</v>
      </c>
      <c r="BN3" s="13">
        <f t="shared" si="27"/>
        <v>0.19754619642895507</v>
      </c>
      <c r="BO3" s="13">
        <f t="shared" si="27"/>
        <v>0.19713531426492709</v>
      </c>
      <c r="BP3" s="16">
        <f t="shared" si="27"/>
        <v>0.19534826357739188</v>
      </c>
      <c r="BQ3" s="13">
        <f t="shared" si="27"/>
        <v>0.19054775703899765</v>
      </c>
      <c r="BR3" s="13">
        <f t="shared" si="27"/>
        <v>0.18353776950369774</v>
      </c>
      <c r="BS3" s="13">
        <f t="shared" si="27"/>
        <v>0.17584545332336976</v>
      </c>
      <c r="BT3" s="13">
        <f t="shared" si="27"/>
        <v>0.16708192457132048</v>
      </c>
      <c r="BU3" s="16">
        <f t="shared" si="27"/>
        <v>0.15710422007743893</v>
      </c>
      <c r="BV3" s="13">
        <f t="shared" si="27"/>
        <v>0.14657206516845425</v>
      </c>
      <c r="BW3" s="13">
        <f t="shared" si="27"/>
        <v>0.13630577822364717</v>
      </c>
      <c r="BX3" s="13">
        <f t="shared" si="27"/>
        <v>0.12601661377666262</v>
      </c>
      <c r="BY3" s="13">
        <f t="shared" si="27"/>
        <v>0.11564711643393442</v>
      </c>
      <c r="BZ3" s="17"/>
      <c r="CA3" s="31" t="s">
        <v>13</v>
      </c>
      <c r="CB3" s="32">
        <f>BB31+BA30</f>
        <v>7.3937155214223324E-2</v>
      </c>
      <c r="CC3" s="32">
        <f>BA29+BB30+BC31</f>
        <v>0.56630035796854572</v>
      </c>
      <c r="CD3" s="32">
        <f>BA28+BB29+BC30+BD31</f>
        <v>1.2853776050826324</v>
      </c>
      <c r="CE3" s="32">
        <f>BA27+BB28+BC29+BD30+BE31</f>
        <v>1.9220156425648192</v>
      </c>
      <c r="CF3" s="17"/>
      <c r="CG3" s="43" t="s">
        <v>6</v>
      </c>
      <c r="CH3" s="43"/>
      <c r="CI3" s="43"/>
      <c r="CK3" s="43" t="s">
        <v>26</v>
      </c>
      <c r="CL3" s="43" t="s">
        <v>7</v>
      </c>
      <c r="CM3" s="43" t="s">
        <v>4</v>
      </c>
      <c r="CN3" s="43" t="s">
        <v>49</v>
      </c>
      <c r="CO3" s="43" t="s">
        <v>8</v>
      </c>
      <c r="CP3" s="43" t="s">
        <v>9</v>
      </c>
      <c r="CQ3" s="43" t="s">
        <v>10</v>
      </c>
      <c r="CR3" s="43" t="s">
        <v>11</v>
      </c>
      <c r="CS3" s="43" t="s">
        <v>12</v>
      </c>
    </row>
    <row r="4" spans="1:97" ht="13.8" x14ac:dyDescent="0.25">
      <c r="A4" s="68">
        <v>30063</v>
      </c>
      <c r="B4" s="10">
        <f>YEAR(A4)+YEARFRAC(DATE(YEAR(A4),1,0),A4-1,1)</f>
        <v>1982.304109589041</v>
      </c>
      <c r="C4" s="60">
        <v>652552</v>
      </c>
      <c r="D4" s="60">
        <v>595598</v>
      </c>
      <c r="E4" s="60">
        <v>479199</v>
      </c>
      <c r="F4" s="60">
        <v>399344</v>
      </c>
      <c r="H4" s="31">
        <f t="shared" si="0"/>
        <v>1973</v>
      </c>
      <c r="I4" s="27">
        <f t="shared" si="1"/>
        <v>510308.90020523279</v>
      </c>
      <c r="J4" s="27">
        <f t="shared" si="2"/>
        <v>443419.6832339273</v>
      </c>
      <c r="K4" s="27">
        <f t="shared" si="3"/>
        <v>359699.7969859665</v>
      </c>
      <c r="L4" s="27">
        <f t="shared" si="4"/>
        <v>297472.21635602805</v>
      </c>
      <c r="N4" s="31">
        <f t="shared" si="5"/>
        <v>1973</v>
      </c>
      <c r="O4" s="12">
        <f t="shared" si="6"/>
        <v>7.8856159443458917E-2</v>
      </c>
      <c r="P4" s="12">
        <f t="shared" si="7"/>
        <v>0.18516994870677334</v>
      </c>
      <c r="Q4" s="12">
        <f t="shared" si="8"/>
        <v>0.17778436500617467</v>
      </c>
      <c r="R4" s="12">
        <f t="shared" si="9"/>
        <v>0.12942048999266095</v>
      </c>
      <c r="T4" s="31">
        <f t="shared" si="10"/>
        <v>1973</v>
      </c>
      <c r="U4" s="14">
        <f>5*SUM($O4:O4)</f>
        <v>0.39428079721729459</v>
      </c>
      <c r="V4" s="14">
        <f>5*SUM($O4:P4)</f>
        <v>1.3201305407511612</v>
      </c>
      <c r="W4" s="14">
        <f>5*SUM($O4:Q4)</f>
        <v>2.2090523657820347</v>
      </c>
      <c r="X4" s="14">
        <f>5*SUM($O4:R4)</f>
        <v>2.8561548157453394</v>
      </c>
      <c r="Z4" s="31">
        <f t="shared" ref="Z4:Z22" si="28">T4</f>
        <v>1973</v>
      </c>
      <c r="AA4" s="14">
        <f t="shared" ref="AA4:AA22" si="29">U4/V4</f>
        <v>0.29866803702075306</v>
      </c>
      <c r="AB4" s="14">
        <f t="shared" si="11"/>
        <v>0.59760038340413768</v>
      </c>
      <c r="AC4" s="14">
        <f t="shared" si="12"/>
        <v>0.77343579332745749</v>
      </c>
      <c r="AD4" s="15"/>
      <c r="AE4" s="31">
        <f t="shared" ref="AE4:AE22" si="30">Z4</f>
        <v>1973</v>
      </c>
      <c r="AF4" s="14">
        <f t="shared" ref="AF4:AF22" si="31">-LN(-LN(AA4))</f>
        <v>-0.18931584500572415</v>
      </c>
      <c r="AG4" s="14">
        <f t="shared" si="13"/>
        <v>0.66391269577634815</v>
      </c>
      <c r="AH4" s="14">
        <f t="shared" si="14"/>
        <v>1.3590192503649263</v>
      </c>
      <c r="AJ4" s="31">
        <f t="shared" si="15"/>
        <v>1973</v>
      </c>
      <c r="AK4" s="14">
        <f t="shared" si="16"/>
        <v>-1.5432242441394779</v>
      </c>
      <c r="AL4" s="14">
        <f t="shared" si="17"/>
        <v>-0.74881401852852014</v>
      </c>
      <c r="AM4" s="14">
        <f t="shared" si="18"/>
        <v>8.4025649237860156E-2</v>
      </c>
      <c r="AO4" s="13">
        <f t="shared" si="19"/>
        <v>2.4203216375161346E-2</v>
      </c>
      <c r="AP4" s="13">
        <f t="shared" ref="AP4:AP22" si="32">SLOPE(AK4:AM4,$AK$24:$AM$24)</f>
        <v>1.1503516890037402</v>
      </c>
      <c r="AQ4" s="13"/>
      <c r="AR4" s="13">
        <f t="shared" si="20"/>
        <v>2.4203216375161346E-2</v>
      </c>
      <c r="AS4" s="13">
        <f t="shared" si="21"/>
        <v>1.1503516890037402</v>
      </c>
      <c r="AU4" s="13">
        <f t="shared" si="22"/>
        <v>3.4056938031914687</v>
      </c>
      <c r="AV4" s="13">
        <f t="shared" si="23"/>
        <v>3.4173078801652363</v>
      </c>
      <c r="AW4" s="13">
        <f t="shared" si="24"/>
        <v>3.4130439216850901</v>
      </c>
      <c r="AX4" s="13">
        <f t="shared" ref="AX4:AX22" si="33">AVERAGE(AU4:AW4)</f>
        <v>3.4120152016805982</v>
      </c>
      <c r="AZ4" s="31">
        <f t="shared" si="25"/>
        <v>1973</v>
      </c>
      <c r="BA4" s="13">
        <v>0</v>
      </c>
      <c r="BB4" s="16">
        <f t="shared" si="26"/>
        <v>3.9090654963225926E-10</v>
      </c>
      <c r="BC4" s="13">
        <f t="shared" si="26"/>
        <v>1.1688713771225256E-6</v>
      </c>
      <c r="BD4" s="13">
        <f t="shared" si="26"/>
        <v>1.2432352060628448E-4</v>
      </c>
      <c r="BE4" s="13">
        <f t="shared" si="26"/>
        <v>2.1219730407499148E-3</v>
      </c>
      <c r="BF4" s="13">
        <f t="shared" si="26"/>
        <v>1.2612822706567807E-2</v>
      </c>
      <c r="BG4" s="16">
        <f t="shared" si="26"/>
        <v>4.0890093522884988E-2</v>
      </c>
      <c r="BH4" s="13">
        <f t="shared" si="26"/>
        <v>7.6970617767002231E-2</v>
      </c>
      <c r="BI4" s="13">
        <f t="shared" si="26"/>
        <v>0.11497785103463216</v>
      </c>
      <c r="BJ4" s="13">
        <f t="shared" si="26"/>
        <v>0.14500501177916802</v>
      </c>
      <c r="BK4" s="13">
        <f t="shared" si="26"/>
        <v>0.1698423165149005</v>
      </c>
      <c r="BL4" s="16">
        <f t="shared" si="27"/>
        <v>0.18342089180067106</v>
      </c>
      <c r="BM4" s="13">
        <f t="shared" si="27"/>
        <v>0.1907114298676866</v>
      </c>
      <c r="BN4" s="13">
        <f t="shared" si="27"/>
        <v>0.19342571763668662</v>
      </c>
      <c r="BO4" s="13">
        <f t="shared" si="27"/>
        <v>0.19247665156589427</v>
      </c>
      <c r="BP4" s="13">
        <f t="shared" si="27"/>
        <v>0.19017416758359901</v>
      </c>
      <c r="BQ4" s="16">
        <f t="shared" si="27"/>
        <v>0.1849463262552381</v>
      </c>
      <c r="BR4" s="13">
        <f t="shared" si="27"/>
        <v>0.17760315103392063</v>
      </c>
      <c r="BS4" s="13">
        <f t="shared" si="27"/>
        <v>0.16963934892466223</v>
      </c>
      <c r="BT4" s="13">
        <f t="shared" si="27"/>
        <v>0.16068715266367303</v>
      </c>
      <c r="BU4" s="13">
        <f t="shared" si="27"/>
        <v>0.15062018134217181</v>
      </c>
      <c r="BV4" s="16">
        <f t="shared" si="27"/>
        <v>0.14008052415162084</v>
      </c>
      <c r="BW4" s="13">
        <f t="shared" si="27"/>
        <v>0.12985351428643685</v>
      </c>
      <c r="BX4" s="13">
        <f t="shared" si="27"/>
        <v>0.11966090685070564</v>
      </c>
      <c r="BY4" s="13">
        <f t="shared" si="27"/>
        <v>0.10944780366666586</v>
      </c>
      <c r="BZ4" s="17"/>
      <c r="CA4" s="31" t="s">
        <v>14</v>
      </c>
      <c r="CB4" s="32">
        <v>0.14000000000000001</v>
      </c>
      <c r="CC4" s="32">
        <v>0.69</v>
      </c>
      <c r="CD4" s="32">
        <v>1.37</v>
      </c>
      <c r="CE4" s="32">
        <v>2.02</v>
      </c>
      <c r="CF4" s="17"/>
      <c r="CG4" s="31">
        <v>10</v>
      </c>
      <c r="CH4" s="7">
        <v>-100000</v>
      </c>
      <c r="CI4" s="7"/>
      <c r="CK4" s="31">
        <v>15</v>
      </c>
      <c r="CL4" s="18">
        <f t="shared" ref="CL4:CL11" si="34">VLOOKUP(CK4,$CG$4:$CI$91,3)</f>
        <v>3.1300695963830103E-3</v>
      </c>
      <c r="CM4" s="18">
        <f>-LN(-LN(CL4))</f>
        <v>-1.7521</v>
      </c>
      <c r="CN4" s="18">
        <f>CL4/CL5</f>
        <v>2.3043051910004782E-2</v>
      </c>
      <c r="CO4" s="18">
        <f>-LN(-LN(CN4))</f>
        <v>-1.3271787071048347</v>
      </c>
      <c r="CP4" s="18">
        <f>((CM5*EXP(-CM5))-(CM4*EXP(-CM4)))/LN(CN4)</f>
        <v>-2.3137618128813635</v>
      </c>
      <c r="CQ4" s="18"/>
      <c r="CR4" s="18">
        <f>CO4-CP4</f>
        <v>0.98658310577652886</v>
      </c>
      <c r="CS4" s="18">
        <f>CP4</f>
        <v>-2.3137618128813635</v>
      </c>
    </row>
    <row r="5" spans="1:97" ht="13.8" x14ac:dyDescent="0.25">
      <c r="A5" s="68">
        <v>33716</v>
      </c>
      <c r="B5" s="10">
        <f>YEAR(A5)+YEARFRAC(DATE(YEAR(A5),1,0),A5-1,1)</f>
        <v>1992.3060109289618</v>
      </c>
      <c r="C5" s="60">
        <v>600563</v>
      </c>
      <c r="D5" s="60">
        <v>608933</v>
      </c>
      <c r="E5" s="60">
        <v>623305</v>
      </c>
      <c r="F5" s="60">
        <v>576710</v>
      </c>
      <c r="H5" s="31">
        <f t="shared" si="0"/>
        <v>1974</v>
      </c>
      <c r="I5" s="27">
        <f t="shared" si="1"/>
        <v>524761.29476467753</v>
      </c>
      <c r="J5" s="27">
        <f t="shared" si="2"/>
        <v>458531.66976101772</v>
      </c>
      <c r="K5" s="27">
        <f t="shared" si="3"/>
        <v>371612.15902719082</v>
      </c>
      <c r="L5" s="27">
        <f t="shared" si="4"/>
        <v>307591.12577670801</v>
      </c>
      <c r="N5" s="31">
        <f t="shared" si="5"/>
        <v>1974</v>
      </c>
      <c r="O5" s="12">
        <f t="shared" si="6"/>
        <v>7.6004081089641851E-2</v>
      </c>
      <c r="P5" s="12">
        <f t="shared" si="7"/>
        <v>0.17297823734037548</v>
      </c>
      <c r="Q5" s="12">
        <f t="shared" si="8"/>
        <v>0.17081518582753208</v>
      </c>
      <c r="R5" s="12">
        <f t="shared" si="9"/>
        <v>0.12315049696036588</v>
      </c>
      <c r="T5" s="31">
        <f t="shared" si="10"/>
        <v>1974</v>
      </c>
      <c r="U5" s="14">
        <f>5*SUM($O5:O5)</f>
        <v>0.38002040544820925</v>
      </c>
      <c r="V5" s="14">
        <f>5*SUM($O5:P5)</f>
        <v>1.2449115921500866</v>
      </c>
      <c r="W5" s="14">
        <f>5*SUM($O5:Q5)</f>
        <v>2.0989875212877469</v>
      </c>
      <c r="X5" s="14">
        <f>5*SUM($O5:R5)</f>
        <v>2.7147400060895768</v>
      </c>
      <c r="Z5" s="31">
        <f t="shared" si="28"/>
        <v>1974</v>
      </c>
      <c r="AA5" s="14">
        <f t="shared" si="29"/>
        <v>0.30525894998846953</v>
      </c>
      <c r="AB5" s="14">
        <f t="shared" si="11"/>
        <v>0.59310099727811749</v>
      </c>
      <c r="AC5" s="14">
        <f t="shared" si="12"/>
        <v>0.77318178410433303</v>
      </c>
      <c r="AD5" s="15"/>
      <c r="AE5" s="31">
        <f t="shared" si="30"/>
        <v>1974</v>
      </c>
      <c r="AF5" s="14">
        <f t="shared" si="31"/>
        <v>-0.17108773152402787</v>
      </c>
      <c r="AG5" s="14">
        <f t="shared" si="13"/>
        <v>0.64933973588429883</v>
      </c>
      <c r="AH5" s="14">
        <f t="shared" si="14"/>
        <v>1.3577415364521348</v>
      </c>
      <c r="AJ5" s="31">
        <f t="shared" si="15"/>
        <v>1974</v>
      </c>
      <c r="AK5" s="14">
        <f t="shared" si="16"/>
        <v>-1.5249961306577815</v>
      </c>
      <c r="AL5" s="14">
        <f t="shared" si="17"/>
        <v>-0.76338697842056946</v>
      </c>
      <c r="AM5" s="14">
        <f t="shared" si="18"/>
        <v>8.2747935325068633E-2</v>
      </c>
      <c r="AO5" s="13">
        <f t="shared" si="19"/>
        <v>1.7704204276747751E-2</v>
      </c>
      <c r="AP5" s="13">
        <f t="shared" si="32"/>
        <v>1.1366680069060699</v>
      </c>
      <c r="AQ5" s="13"/>
      <c r="AR5" s="13">
        <f t="shared" si="20"/>
        <v>1.7704204276747751E-2</v>
      </c>
      <c r="AS5" s="13">
        <f t="shared" si="21"/>
        <v>1.1366680069060699</v>
      </c>
      <c r="AU5" s="13">
        <f t="shared" si="22"/>
        <v>3.2326317605418518</v>
      </c>
      <c r="AV5" s="13">
        <f t="shared" si="23"/>
        <v>3.2700841269210503</v>
      </c>
      <c r="AW5" s="13">
        <f t="shared" si="24"/>
        <v>3.2597505148357233</v>
      </c>
      <c r="AX5" s="13">
        <f t="shared" si="33"/>
        <v>3.254155467432875</v>
      </c>
      <c r="AZ5" s="31">
        <f t="shared" si="25"/>
        <v>1974</v>
      </c>
      <c r="BA5" s="13">
        <v>0</v>
      </c>
      <c r="BB5" s="13">
        <f t="shared" si="26"/>
        <v>7.5027876036011916E-10</v>
      </c>
      <c r="BC5" s="16">
        <f t="shared" si="26"/>
        <v>1.6312000467620862E-6</v>
      </c>
      <c r="BD5" s="13">
        <f t="shared" si="26"/>
        <v>1.4697836782823331E-4</v>
      </c>
      <c r="BE5" s="13">
        <f t="shared" si="26"/>
        <v>2.2849083600477325E-3</v>
      </c>
      <c r="BF5" s="13">
        <f t="shared" si="26"/>
        <v>1.2846092572439244E-2</v>
      </c>
      <c r="BG5" s="13">
        <f t="shared" si="26"/>
        <v>4.0251899758185251E-2</v>
      </c>
      <c r="BH5" s="16">
        <f t="shared" si="26"/>
        <v>7.4281835850798172E-2</v>
      </c>
      <c r="BI5" s="13">
        <f t="shared" si="26"/>
        <v>0.10969796346878175</v>
      </c>
      <c r="BJ5" s="13">
        <f t="shared" si="26"/>
        <v>0.13742516713015349</v>
      </c>
      <c r="BK5" s="13">
        <f t="shared" si="26"/>
        <v>0.16035486061547088</v>
      </c>
      <c r="BL5" s="13">
        <f t="shared" si="27"/>
        <v>0.17283559571346199</v>
      </c>
      <c r="BM5" s="16">
        <f t="shared" si="27"/>
        <v>0.1795711623556156</v>
      </c>
      <c r="BN5" s="13">
        <f t="shared" si="27"/>
        <v>0.18213960934873569</v>
      </c>
      <c r="BO5" s="13">
        <f t="shared" si="27"/>
        <v>0.18136283331209338</v>
      </c>
      <c r="BP5" s="13">
        <f t="shared" si="27"/>
        <v>0.17938522987977773</v>
      </c>
      <c r="BQ5" s="13">
        <f t="shared" si="27"/>
        <v>0.17469836651121154</v>
      </c>
      <c r="BR5" s="16">
        <f t="shared" si="27"/>
        <v>0.1680404506418782</v>
      </c>
      <c r="BS5" s="13">
        <f t="shared" si="27"/>
        <v>0.16080584129200173</v>
      </c>
      <c r="BT5" s="13">
        <f t="shared" si="27"/>
        <v>0.15263287478143997</v>
      </c>
      <c r="BU5" s="13">
        <f t="shared" si="27"/>
        <v>0.1433874274893267</v>
      </c>
      <c r="BV5" s="13">
        <f t="shared" si="27"/>
        <v>0.13366832049120062</v>
      </c>
      <c r="BW5" s="16">
        <f t="shared" si="27"/>
        <v>0.12421902164560183</v>
      </c>
      <c r="BX5" s="13">
        <f t="shared" si="27"/>
        <v>0.11477169711911188</v>
      </c>
      <c r="BY5" s="13">
        <f t="shared" si="27"/>
        <v>0.10527064801110961</v>
      </c>
      <c r="BZ5" s="17"/>
      <c r="CA5" s="31"/>
      <c r="CB5" s="32"/>
      <c r="CC5" s="32"/>
      <c r="CD5" s="32"/>
      <c r="CE5" s="32"/>
      <c r="CF5" s="17"/>
      <c r="CG5" s="31">
        <v>10.5</v>
      </c>
      <c r="CH5" s="7">
        <v>-50001.585455</v>
      </c>
      <c r="CI5" s="7"/>
      <c r="CK5" s="31">
        <v>20</v>
      </c>
      <c r="CL5" s="18">
        <f t="shared" si="34"/>
        <v>0.13583572213470577</v>
      </c>
      <c r="CM5" s="18">
        <f t="shared" ref="CM5:CM11" si="35">-LN(-LN(CL5))</f>
        <v>-0.69130000000000003</v>
      </c>
      <c r="CN5" s="18">
        <f t="shared" ref="CN5:CN10" si="36">CL5/CL6</f>
        <v>0.36001012048431658</v>
      </c>
      <c r="CO5" s="18">
        <f t="shared" ref="CO5:CO10" si="37">-LN(-LN(CN5))</f>
        <v>-2.1392671790158416E-2</v>
      </c>
      <c r="CP5" s="18">
        <f t="shared" ref="CP5:CP10" si="38">((CM6*EXP(-CM6))-(CM5*EXP(-CM5)))/LN(CN5)</f>
        <v>-1.3753010709239122</v>
      </c>
      <c r="CQ5" s="18">
        <f>((CM5-CM6)^2*EXP(CM5+CM6))/(EXP(CM5)-EXP(CM6))^2</f>
        <v>0.9582451928132486</v>
      </c>
      <c r="CR5" s="18">
        <f t="shared" ref="CR5:CR10" si="39">CO5-CP5</f>
        <v>1.3539083991337537</v>
      </c>
      <c r="CS5" s="18">
        <f t="shared" ref="CS5:CS10" si="40">CP5</f>
        <v>-1.3753010709239122</v>
      </c>
    </row>
    <row r="6" spans="1:97" ht="13.8" x14ac:dyDescent="0.25">
      <c r="A6" s="73" t="s">
        <v>37</v>
      </c>
      <c r="B6" s="46">
        <f>ROUND(B5,0)-1</f>
        <v>1991</v>
      </c>
      <c r="C6" s="61">
        <v>0.14000000000000001</v>
      </c>
      <c r="D6" s="61">
        <v>0.69</v>
      </c>
      <c r="E6" s="61">
        <v>1.37</v>
      </c>
      <c r="F6" s="61">
        <v>2.02</v>
      </c>
      <c r="H6" s="31">
        <f t="shared" si="0"/>
        <v>1975</v>
      </c>
      <c r="I6" s="27">
        <f t="shared" si="1"/>
        <v>539622.99378347606</v>
      </c>
      <c r="J6" s="27">
        <f t="shared" si="2"/>
        <v>474158.68109514745</v>
      </c>
      <c r="K6" s="27">
        <f t="shared" si="3"/>
        <v>383919.02885126707</v>
      </c>
      <c r="L6" s="27">
        <f t="shared" si="4"/>
        <v>318054.24323509383</v>
      </c>
      <c r="N6" s="31">
        <f t="shared" si="5"/>
        <v>1975</v>
      </c>
      <c r="O6" s="12">
        <f t="shared" si="6"/>
        <v>7.2432050617330199E-2</v>
      </c>
      <c r="P6" s="12">
        <f t="shared" si="7"/>
        <v>0.15926946613225862</v>
      </c>
      <c r="Q6" s="12">
        <f t="shared" si="8"/>
        <v>0.15462895959501508</v>
      </c>
      <c r="R6" s="12">
        <f t="shared" si="9"/>
        <v>0.11275749581335222</v>
      </c>
      <c r="T6" s="31">
        <f t="shared" si="10"/>
        <v>1975</v>
      </c>
      <c r="U6" s="14">
        <f>5*SUM($O6:O6)</f>
        <v>0.36216025308665101</v>
      </c>
      <c r="V6" s="14">
        <f>5*SUM($O6:P6)</f>
        <v>1.1585075837479442</v>
      </c>
      <c r="W6" s="14">
        <f>5*SUM($O6:Q6)</f>
        <v>1.9316523817230196</v>
      </c>
      <c r="X6" s="14">
        <f>5*SUM($O6:R6)</f>
        <v>2.4954398607897805</v>
      </c>
      <c r="Z6" s="31">
        <f t="shared" si="28"/>
        <v>1975</v>
      </c>
      <c r="AA6" s="14">
        <f t="shared" si="29"/>
        <v>0.3126093071527497</v>
      </c>
      <c r="AB6" s="14">
        <f t="shared" si="11"/>
        <v>0.59974951741294358</v>
      </c>
      <c r="AC6" s="14">
        <f t="shared" si="12"/>
        <v>0.77407290477105384</v>
      </c>
      <c r="AD6" s="15"/>
      <c r="AE6" s="31">
        <f t="shared" si="30"/>
        <v>1975</v>
      </c>
      <c r="AF6" s="14">
        <f t="shared" si="31"/>
        <v>-0.15083182544058343</v>
      </c>
      <c r="AG6" s="14">
        <f t="shared" si="13"/>
        <v>0.67090990783202387</v>
      </c>
      <c r="AH6" s="14">
        <f t="shared" si="14"/>
        <v>1.3622293888982262</v>
      </c>
      <c r="AJ6" s="31">
        <f t="shared" si="15"/>
        <v>1975</v>
      </c>
      <c r="AK6" s="14">
        <f t="shared" si="16"/>
        <v>-1.5047402245743371</v>
      </c>
      <c r="AL6" s="14">
        <f t="shared" si="17"/>
        <v>-0.74181680647284443</v>
      </c>
      <c r="AM6" s="14">
        <f t="shared" si="18"/>
        <v>8.7235787771160034E-2</v>
      </c>
      <c r="AO6" s="13">
        <f t="shared" si="19"/>
        <v>2.7047456698154424E-2</v>
      </c>
      <c r="AP6" s="13">
        <f t="shared" si="32"/>
        <v>1.1254802262326238</v>
      </c>
      <c r="AQ6" s="13"/>
      <c r="AR6" s="13">
        <f t="shared" si="20"/>
        <v>2.7047456698154424E-2</v>
      </c>
      <c r="AS6" s="13">
        <f t="shared" si="21"/>
        <v>1.1254802262326238</v>
      </c>
      <c r="AU6" s="13">
        <f t="shared" si="22"/>
        <v>2.9824997620331963</v>
      </c>
      <c r="AV6" s="13">
        <f t="shared" si="23"/>
        <v>3.0073720967551738</v>
      </c>
      <c r="AW6" s="13">
        <f t="shared" si="24"/>
        <v>3.0003878871029861</v>
      </c>
      <c r="AX6" s="13">
        <f t="shared" si="33"/>
        <v>2.9967532486304518</v>
      </c>
      <c r="AZ6" s="31">
        <f t="shared" si="25"/>
        <v>1975</v>
      </c>
      <c r="BA6" s="13">
        <v>0</v>
      </c>
      <c r="BB6" s="13">
        <f t="shared" si="26"/>
        <v>1.650285441281035E-9</v>
      </c>
      <c r="BC6" s="13">
        <f t="shared" si="26"/>
        <v>2.502819426735604E-6</v>
      </c>
      <c r="BD6" s="16">
        <f t="shared" si="26"/>
        <v>1.8529381243515407E-4</v>
      </c>
      <c r="BE6" s="13">
        <f t="shared" si="26"/>
        <v>2.5641444655277686E-3</v>
      </c>
      <c r="BF6" s="13">
        <f t="shared" si="26"/>
        <v>1.3398463471116628E-2</v>
      </c>
      <c r="BG6" s="13">
        <f t="shared" si="26"/>
        <v>4.0022662280795068E-2</v>
      </c>
      <c r="BH6" s="13">
        <f t="shared" si="26"/>
        <v>7.1662350375016726E-2</v>
      </c>
      <c r="BI6" s="16">
        <f t="shared" si="26"/>
        <v>0.10380606115143494</v>
      </c>
      <c r="BJ6" s="13">
        <f t="shared" si="26"/>
        <v>0.12838333610974612</v>
      </c>
      <c r="BK6" s="13">
        <f t="shared" si="26"/>
        <v>0.14849346379728182</v>
      </c>
      <c r="BL6" s="13">
        <f t="shared" si="27"/>
        <v>0.15907739947886301</v>
      </c>
      <c r="BM6" s="13">
        <f t="shared" si="27"/>
        <v>0.16458073035699286</v>
      </c>
      <c r="BN6" s="16">
        <f t="shared" si="27"/>
        <v>0.16645025371924252</v>
      </c>
      <c r="BO6" s="13">
        <f t="shared" si="27"/>
        <v>0.16541747470580695</v>
      </c>
      <c r="BP6" s="13">
        <f t="shared" si="27"/>
        <v>0.16341248396972749</v>
      </c>
      <c r="BQ6" s="13">
        <f t="shared" si="27"/>
        <v>0.15903679910103305</v>
      </c>
      <c r="BR6" s="13">
        <f t="shared" si="27"/>
        <v>0.15294363375492417</v>
      </c>
      <c r="BS6" s="16">
        <f t="shared" si="27"/>
        <v>0.14638347655091771</v>
      </c>
      <c r="BT6" s="13">
        <f t="shared" si="27"/>
        <v>0.13901130297326036</v>
      </c>
      <c r="BU6" s="13">
        <f t="shared" si="27"/>
        <v>0.13069098564613341</v>
      </c>
      <c r="BV6" s="13">
        <f t="shared" si="27"/>
        <v>0.12195574894997099</v>
      </c>
      <c r="BW6" s="13">
        <f t="shared" si="27"/>
        <v>0.11347474850523795</v>
      </c>
      <c r="BX6" s="16">
        <f t="shared" si="27"/>
        <v>0.10499720884975582</v>
      </c>
      <c r="BY6" s="13">
        <f t="shared" si="27"/>
        <v>9.6466384574607184E-2</v>
      </c>
      <c r="BZ6" s="17"/>
      <c r="CA6" s="31" t="s">
        <v>17</v>
      </c>
      <c r="CB6" s="32">
        <f>CB3/CB4</f>
        <v>0.52812253724445224</v>
      </c>
      <c r="CC6" s="32">
        <f t="shared" ref="CC6:CE6" si="41">CC3/CC4</f>
        <v>0.82072515647615329</v>
      </c>
      <c r="CD6" s="32">
        <f t="shared" si="41"/>
        <v>0.93823182852746889</v>
      </c>
      <c r="CE6" s="32">
        <f t="shared" si="41"/>
        <v>0.9514928923588214</v>
      </c>
      <c r="CF6" s="17"/>
      <c r="CG6" s="31">
        <v>11</v>
      </c>
      <c r="CH6" s="32">
        <v>-3.1709100000000001</v>
      </c>
      <c r="CI6" s="32">
        <f t="shared" ref="CI6:CI69" si="42">EXP(-EXP(-CH6))</f>
        <v>4.4784499589925825E-11</v>
      </c>
      <c r="CK6" s="31">
        <v>25</v>
      </c>
      <c r="CL6" s="18">
        <f t="shared" si="34"/>
        <v>0.37731084323953967</v>
      </c>
      <c r="CM6" s="18">
        <f t="shared" si="35"/>
        <v>2.5640000000000027E-2</v>
      </c>
      <c r="CN6" s="18">
        <f t="shared" si="36"/>
        <v>0.61995981993834604</v>
      </c>
      <c r="CO6" s="18">
        <f t="shared" si="37"/>
        <v>0.73793408831619267</v>
      </c>
      <c r="CP6" s="18">
        <f t="shared" si="38"/>
        <v>-0.67479262598867551</v>
      </c>
      <c r="CQ6" s="18">
        <f>((CM6-CM7)^2*EXP(CM6+CM7))/(EXP(CM6)-EXP(CM7))^2</f>
        <v>0.96294960921111461</v>
      </c>
      <c r="CR6" s="18">
        <f t="shared" si="39"/>
        <v>1.4127267143048683</v>
      </c>
      <c r="CS6" s="18">
        <f t="shared" si="40"/>
        <v>-0.67479262598867551</v>
      </c>
    </row>
    <row r="7" spans="1:97" ht="13.8" x14ac:dyDescent="0.25">
      <c r="H7" s="31">
        <f t="shared" si="0"/>
        <v>1976</v>
      </c>
      <c r="I7" s="27">
        <f t="shared" si="1"/>
        <v>554905.5891220466</v>
      </c>
      <c r="J7" s="27">
        <f t="shared" si="2"/>
        <v>490318.26956481999</v>
      </c>
      <c r="K7" s="27">
        <f t="shared" si="3"/>
        <v>396633.47157409677</v>
      </c>
      <c r="L7" s="27">
        <f t="shared" si="4"/>
        <v>328873.27742115367</v>
      </c>
      <c r="N7" s="31">
        <f t="shared" si="5"/>
        <v>1976</v>
      </c>
      <c r="O7" s="12">
        <f t="shared" si="6"/>
        <v>6.7863796541644594E-2</v>
      </c>
      <c r="P7" s="12">
        <f t="shared" si="7"/>
        <v>0.15069599602229769</v>
      </c>
      <c r="Q7" s="12">
        <f t="shared" si="8"/>
        <v>0.14414063385298445</v>
      </c>
      <c r="R7" s="12">
        <f t="shared" si="9"/>
        <v>0.10377553405257232</v>
      </c>
      <c r="T7" s="31">
        <f t="shared" si="10"/>
        <v>1976</v>
      </c>
      <c r="U7" s="14">
        <f>5*SUM($O7:O7)</f>
        <v>0.33931898270822297</v>
      </c>
      <c r="V7" s="14">
        <f>5*SUM($O7:P7)</f>
        <v>1.0927989628197115</v>
      </c>
      <c r="W7" s="14">
        <f>5*SUM($O7:Q7)</f>
        <v>1.8135021320846336</v>
      </c>
      <c r="X7" s="14">
        <f>5*SUM($O7:R7)</f>
        <v>2.3323798023474955</v>
      </c>
      <c r="Z7" s="31">
        <f t="shared" si="28"/>
        <v>1976</v>
      </c>
      <c r="AA7" s="14">
        <f t="shared" si="29"/>
        <v>0.31050448824794813</v>
      </c>
      <c r="AB7" s="14">
        <f t="shared" si="11"/>
        <v>0.60259039318775509</v>
      </c>
      <c r="AC7" s="14">
        <f t="shared" si="12"/>
        <v>0.77753294307358456</v>
      </c>
      <c r="AD7" s="15"/>
      <c r="AE7" s="31">
        <f t="shared" si="30"/>
        <v>1976</v>
      </c>
      <c r="AF7" s="14">
        <f t="shared" si="31"/>
        <v>-0.15662497863080921</v>
      </c>
      <c r="AG7" s="14">
        <f t="shared" si="13"/>
        <v>0.68019621812066144</v>
      </c>
      <c r="AH7" s="14">
        <f t="shared" si="14"/>
        <v>1.379798444093008</v>
      </c>
      <c r="AJ7" s="31">
        <f t="shared" si="15"/>
        <v>1976</v>
      </c>
      <c r="AK7" s="14">
        <f t="shared" si="16"/>
        <v>-1.5105333777645629</v>
      </c>
      <c r="AL7" s="14">
        <f t="shared" si="17"/>
        <v>-0.73253049618420685</v>
      </c>
      <c r="AM7" s="14">
        <f t="shared" si="18"/>
        <v>0.10480484296594184</v>
      </c>
      <c r="AO7" s="13">
        <f t="shared" si="19"/>
        <v>4.301422671898604E-2</v>
      </c>
      <c r="AP7" s="13">
        <f t="shared" si="32"/>
        <v>1.1419790079191161</v>
      </c>
      <c r="AQ7" s="13"/>
      <c r="AR7" s="13">
        <f t="shared" si="20"/>
        <v>4.301422671898604E-2</v>
      </c>
      <c r="AS7" s="13">
        <f t="shared" si="21"/>
        <v>1.1419790079191161</v>
      </c>
      <c r="AU7" s="13">
        <f t="shared" si="22"/>
        <v>2.7704204393372445</v>
      </c>
      <c r="AV7" s="13">
        <f t="shared" si="23"/>
        <v>2.789704614703985</v>
      </c>
      <c r="AW7" s="13">
        <f t="shared" si="24"/>
        <v>2.7839636640249679</v>
      </c>
      <c r="AX7" s="13">
        <f t="shared" si="33"/>
        <v>2.7813629060220659</v>
      </c>
      <c r="AZ7" s="31">
        <f t="shared" si="25"/>
        <v>1976</v>
      </c>
      <c r="BA7" s="13">
        <v>0</v>
      </c>
      <c r="BB7" s="13">
        <f t="shared" si="26"/>
        <v>8.1289264391122462E-10</v>
      </c>
      <c r="BC7" s="13">
        <f t="shared" si="26"/>
        <v>1.6749708391780642E-6</v>
      </c>
      <c r="BD7" s="13">
        <f t="shared" si="26"/>
        <v>1.4495578086108217E-4</v>
      </c>
      <c r="BE7" s="16">
        <f t="shared" si="26"/>
        <v>2.1851586769625155E-3</v>
      </c>
      <c r="BF7" s="13">
        <f t="shared" si="26"/>
        <v>1.1991792002336979E-2</v>
      </c>
      <c r="BG7" s="13">
        <f t="shared" si="26"/>
        <v>3.6851187563151575E-2</v>
      </c>
      <c r="BH7" s="13">
        <f t="shared" si="26"/>
        <v>6.6997480695931907E-2</v>
      </c>
      <c r="BI7" s="13">
        <f t="shared" si="26"/>
        <v>9.7806614829351393E-2</v>
      </c>
      <c r="BJ7" s="16">
        <f t="shared" si="26"/>
        <v>0.12140730320244077</v>
      </c>
      <c r="BK7" s="13">
        <f t="shared" si="26"/>
        <v>0.14060066781145969</v>
      </c>
      <c r="BL7" s="13">
        <f t="shared" si="27"/>
        <v>0.15058905285428589</v>
      </c>
      <c r="BM7" s="13">
        <f t="shared" si="27"/>
        <v>0.15562062744790031</v>
      </c>
      <c r="BN7" s="13">
        <f t="shared" si="27"/>
        <v>0.15711435956399092</v>
      </c>
      <c r="BO7" s="16">
        <f t="shared" si="27"/>
        <v>0.1558043687405414</v>
      </c>
      <c r="BP7" s="13">
        <f t="shared" si="27"/>
        <v>0.15354000937408344</v>
      </c>
      <c r="BQ7" s="13">
        <f t="shared" si="27"/>
        <v>0.14902986987004183</v>
      </c>
      <c r="BR7" s="13">
        <f t="shared" si="27"/>
        <v>0.14291317693443156</v>
      </c>
      <c r="BS7" s="13">
        <f t="shared" si="27"/>
        <v>0.13637572616653831</v>
      </c>
      <c r="BT7" s="16">
        <f t="shared" si="27"/>
        <v>0.1291054136528586</v>
      </c>
      <c r="BU7" s="13">
        <f t="shared" si="27"/>
        <v>0.12098764927872271</v>
      </c>
      <c r="BV7" s="13">
        <f t="shared" si="27"/>
        <v>0.11252646955371329</v>
      </c>
      <c r="BW7" s="13">
        <f t="shared" si="27"/>
        <v>0.10434251555916196</v>
      </c>
      <c r="BX7" s="13">
        <f t="shared" si="27"/>
        <v>9.6204188251403783E-2</v>
      </c>
      <c r="BY7" s="16">
        <f t="shared" si="27"/>
        <v>8.8060647011883819E-2</v>
      </c>
      <c r="BZ7" s="17"/>
      <c r="CF7" s="17"/>
      <c r="CG7" s="31">
        <v>11.5</v>
      </c>
      <c r="CH7" s="32">
        <v>-2.9567300000000003</v>
      </c>
      <c r="CI7" s="32">
        <f t="shared" si="42"/>
        <v>4.4295384258252304E-9</v>
      </c>
      <c r="CK7" s="31">
        <v>30</v>
      </c>
      <c r="CL7" s="18">
        <f t="shared" si="34"/>
        <v>0.60860531780440641</v>
      </c>
      <c r="CM7" s="18">
        <f t="shared" si="35"/>
        <v>0.7</v>
      </c>
      <c r="CN7" s="18">
        <f t="shared" si="36"/>
        <v>0.76440612593374357</v>
      </c>
      <c r="CO7" s="18">
        <f t="shared" si="37"/>
        <v>1.3143233323529984</v>
      </c>
      <c r="CP7" s="18">
        <f t="shared" si="38"/>
        <v>3.9329731225932155E-2</v>
      </c>
      <c r="CQ7" s="18">
        <f>((CM7-CM8)^2*EXP(CM7+CM8))/(EXP(CM7)-EXP(CM8))^2</f>
        <v>0.95096235574174137</v>
      </c>
      <c r="CR7" s="18">
        <f t="shared" si="39"/>
        <v>1.2749936011270662</v>
      </c>
      <c r="CS7" s="18">
        <f t="shared" si="40"/>
        <v>3.9329731225932155E-2</v>
      </c>
    </row>
    <row r="8" spans="1:97" ht="14.4" x14ac:dyDescent="0.25">
      <c r="B8" s="67" t="s">
        <v>21</v>
      </c>
      <c r="C8" s="41" t="s">
        <v>0</v>
      </c>
      <c r="D8" s="41" t="s">
        <v>1</v>
      </c>
      <c r="E8" s="41" t="s">
        <v>2</v>
      </c>
      <c r="F8" s="41" t="s">
        <v>3</v>
      </c>
      <c r="H8" s="31">
        <f t="shared" si="0"/>
        <v>1977</v>
      </c>
      <c r="I8" s="27">
        <f t="shared" si="1"/>
        <v>570621.0009324376</v>
      </c>
      <c r="J8" s="27">
        <f t="shared" si="2"/>
        <v>507028.58569154202</v>
      </c>
      <c r="K8" s="27">
        <f t="shared" si="3"/>
        <v>409768.98499570327</v>
      </c>
      <c r="L8" s="27">
        <f t="shared" si="4"/>
        <v>340060.33531137317</v>
      </c>
      <c r="M8" s="19"/>
      <c r="N8" s="31">
        <f t="shared" si="5"/>
        <v>1977</v>
      </c>
      <c r="O8" s="12">
        <f t="shared" si="6"/>
        <v>6.3271418228567383E-2</v>
      </c>
      <c r="P8" s="12">
        <f t="shared" si="7"/>
        <v>0.14090921501507722</v>
      </c>
      <c r="Q8" s="12">
        <f t="shared" si="8"/>
        <v>0.13048083666107779</v>
      </c>
      <c r="R8" s="12">
        <f t="shared" si="9"/>
        <v>9.4659672585823681E-2</v>
      </c>
      <c r="T8" s="31">
        <f t="shared" si="10"/>
        <v>1977</v>
      </c>
      <c r="U8" s="14">
        <f>5*SUM($O8:O8)</f>
        <v>0.31635709114283694</v>
      </c>
      <c r="V8" s="14">
        <f>5*SUM($O8:P8)</f>
        <v>1.0209031662182231</v>
      </c>
      <c r="W8" s="14">
        <f>5*SUM($O8:Q8)</f>
        <v>1.6733073495236119</v>
      </c>
      <c r="X8" s="14">
        <f>5*SUM($O8:R8)</f>
        <v>2.1466057124527307</v>
      </c>
      <c r="Z8" s="31">
        <f t="shared" si="28"/>
        <v>1977</v>
      </c>
      <c r="AA8" s="14">
        <f t="shared" si="29"/>
        <v>0.30987962581674866</v>
      </c>
      <c r="AB8" s="14">
        <f t="shared" si="11"/>
        <v>0.61011096766465089</v>
      </c>
      <c r="AC8" s="14">
        <f t="shared" si="12"/>
        <v>0.7795131354661663</v>
      </c>
      <c r="AD8" s="15"/>
      <c r="AE8" s="31">
        <f t="shared" si="30"/>
        <v>1977</v>
      </c>
      <c r="AF8" s="14">
        <f t="shared" si="31"/>
        <v>-0.15834589109203773</v>
      </c>
      <c r="AG8" s="14">
        <f t="shared" si="13"/>
        <v>0.70498816077204296</v>
      </c>
      <c r="AH8" s="14">
        <f t="shared" si="14"/>
        <v>1.3899581065139974</v>
      </c>
      <c r="AJ8" s="31">
        <f t="shared" si="15"/>
        <v>1977</v>
      </c>
      <c r="AK8" s="14">
        <f t="shared" si="16"/>
        <v>-1.5122542902257914</v>
      </c>
      <c r="AL8" s="14">
        <f t="shared" si="17"/>
        <v>-0.70773855353282533</v>
      </c>
      <c r="AM8" s="14">
        <f t="shared" si="18"/>
        <v>0.11496450538693126</v>
      </c>
      <c r="AO8" s="13">
        <f t="shared" si="19"/>
        <v>5.8495578429432399E-2</v>
      </c>
      <c r="AP8" s="13">
        <f t="shared" si="32"/>
        <v>1.150283806159875</v>
      </c>
      <c r="AQ8" s="13"/>
      <c r="AR8" s="13">
        <f t="shared" si="20"/>
        <v>5.8495578429432399E-2</v>
      </c>
      <c r="AS8" s="13">
        <f t="shared" si="21"/>
        <v>1.150283806159875</v>
      </c>
      <c r="AU8" s="13">
        <f t="shared" si="22"/>
        <v>2.5509319814550886</v>
      </c>
      <c r="AV8" s="13">
        <f t="shared" si="23"/>
        <v>2.5507917969833054</v>
      </c>
      <c r="AW8" s="13">
        <f t="shared" si="24"/>
        <v>2.5498346986039908</v>
      </c>
      <c r="AX8" s="13">
        <f t="shared" si="33"/>
        <v>2.5505194923474619</v>
      </c>
      <c r="AZ8" s="31">
        <f t="shared" si="25"/>
        <v>1977</v>
      </c>
      <c r="BA8" s="16">
        <v>0</v>
      </c>
      <c r="BB8" s="13">
        <f t="shared" si="26"/>
        <v>6.347431991110135E-10</v>
      </c>
      <c r="BC8" s="13">
        <f t="shared" si="26"/>
        <v>1.446400862855636E-6</v>
      </c>
      <c r="BD8" s="13">
        <f t="shared" si="26"/>
        <v>1.310841222276057E-4</v>
      </c>
      <c r="BE8" s="13">
        <f t="shared" si="26"/>
        <v>2.0198636192654226E-3</v>
      </c>
      <c r="BF8" s="16">
        <f t="shared" si="26"/>
        <v>1.1197177109527329E-2</v>
      </c>
      <c r="BG8" s="13">
        <f t="shared" si="26"/>
        <v>3.4540529085302564E-2</v>
      </c>
      <c r="BH8" s="13">
        <f t="shared" si="26"/>
        <v>6.2820431842307414E-2</v>
      </c>
      <c r="BI8" s="13">
        <f t="shared" si="26"/>
        <v>9.1594036384471819E-2</v>
      </c>
      <c r="BJ8" s="13">
        <f t="shared" si="26"/>
        <v>0.11347082071845728</v>
      </c>
      <c r="BK8" s="16">
        <f t="shared" si="26"/>
        <v>0.13110781676243063</v>
      </c>
      <c r="BL8" s="13">
        <f t="shared" si="27"/>
        <v>0.14008305611518226</v>
      </c>
      <c r="BM8" s="13">
        <f t="shared" si="27"/>
        <v>0.14441411257181633</v>
      </c>
      <c r="BN8" s="13">
        <f t="shared" si="27"/>
        <v>0.14545336949977888</v>
      </c>
      <c r="BO8" s="13">
        <f t="shared" si="27"/>
        <v>0.14390433994667318</v>
      </c>
      <c r="BP8" s="16">
        <f t="shared" si="27"/>
        <v>0.14148846475054941</v>
      </c>
      <c r="BQ8" s="13">
        <f t="shared" si="27"/>
        <v>0.1370233214003802</v>
      </c>
      <c r="BR8" s="13">
        <f t="shared" si="27"/>
        <v>0.13110915130323042</v>
      </c>
      <c r="BS8" s="13">
        <f t="shared" si="27"/>
        <v>0.12483958986635134</v>
      </c>
      <c r="BT8" s="13">
        <f t="shared" si="27"/>
        <v>0.11793010683737357</v>
      </c>
      <c r="BU8" s="16">
        <f t="shared" si="27"/>
        <v>0.11027951262742053</v>
      </c>
      <c r="BV8" s="13">
        <f t="shared" si="27"/>
        <v>0.10235017019082644</v>
      </c>
      <c r="BW8" s="13">
        <f t="shared" si="27"/>
        <v>9.470569414136977E-2</v>
      </c>
      <c r="BX8" s="13">
        <f t="shared" si="27"/>
        <v>8.7133070111862318E-2</v>
      </c>
      <c r="BY8" s="13">
        <f t="shared" si="27"/>
        <v>7.9585047374241588E-2</v>
      </c>
      <c r="BZ8" s="17"/>
      <c r="CA8" s="5"/>
      <c r="CB8" s="5"/>
      <c r="CC8" s="17"/>
      <c r="CD8" s="17"/>
      <c r="CE8" s="17"/>
      <c r="CF8" s="17"/>
      <c r="CG8" s="31">
        <v>12</v>
      </c>
      <c r="CH8" s="32">
        <v>-2.74255</v>
      </c>
      <c r="CI8" s="32">
        <f t="shared" si="42"/>
        <v>1.8068199163533548E-7</v>
      </c>
      <c r="CK8" s="31">
        <v>35</v>
      </c>
      <c r="CL8" s="18">
        <f t="shared" si="34"/>
        <v>0.79618058667567304</v>
      </c>
      <c r="CM8" s="18">
        <f t="shared" si="35"/>
        <v>1.47872</v>
      </c>
      <c r="CN8" s="18">
        <f t="shared" si="36"/>
        <v>0.85593285611670689</v>
      </c>
      <c r="CO8" s="18">
        <f t="shared" si="37"/>
        <v>1.8607022667572284</v>
      </c>
      <c r="CP8" s="18">
        <f t="shared" si="38"/>
        <v>0.94501198471450287</v>
      </c>
      <c r="CQ8" s="18"/>
      <c r="CR8" s="18">
        <f t="shared" si="39"/>
        <v>0.91569028204272551</v>
      </c>
      <c r="CS8" s="18">
        <f t="shared" si="40"/>
        <v>0.94501198471450287</v>
      </c>
    </row>
    <row r="9" spans="1:97" ht="13.8" x14ac:dyDescent="0.25">
      <c r="B9" s="31" t="str">
        <f>YEAR(A3)&amp;"-"&amp;YEAR(A4)</f>
        <v>1970-1982</v>
      </c>
      <c r="C9" s="13">
        <f t="shared" ref="C9:F10" si="43">LN(C4/C3)/($B4-$B3)</f>
        <v>2.7927253514992607E-2</v>
      </c>
      <c r="D9" s="13">
        <f t="shared" si="43"/>
        <v>3.3512674060713489E-2</v>
      </c>
      <c r="E9" s="13">
        <f t="shared" si="43"/>
        <v>3.2580940841711967E-2</v>
      </c>
      <c r="F9" s="13">
        <f t="shared" si="43"/>
        <v>3.3450557110036166E-2</v>
      </c>
      <c r="H9" s="31">
        <f t="shared" si="0"/>
        <v>1978</v>
      </c>
      <c r="I9" s="27">
        <f t="shared" si="1"/>
        <v>586781.48695583292</v>
      </c>
      <c r="J9" s="27">
        <f t="shared" si="2"/>
        <v>524308.39857656928</v>
      </c>
      <c r="K9" s="27">
        <f t="shared" si="3"/>
        <v>423339.51392965275</v>
      </c>
      <c r="L9" s="27">
        <f t="shared" si="4"/>
        <v>351627.93571699719</v>
      </c>
      <c r="M9" s="10"/>
      <c r="N9" s="31">
        <f t="shared" si="5"/>
        <v>1978</v>
      </c>
      <c r="O9" s="12">
        <f t="shared" si="6"/>
        <v>6.3291021999805144E-2</v>
      </c>
      <c r="P9" s="12">
        <f t="shared" si="7"/>
        <v>0.13965826257750946</v>
      </c>
      <c r="Q9" s="12">
        <f t="shared" si="8"/>
        <v>0.12690759598908502</v>
      </c>
      <c r="R9" s="12">
        <f t="shared" si="9"/>
        <v>9.052750582826144E-2</v>
      </c>
      <c r="T9" s="31">
        <f t="shared" si="10"/>
        <v>1978</v>
      </c>
      <c r="U9" s="14">
        <f>5*SUM($O9:O9)</f>
        <v>0.31645510999902571</v>
      </c>
      <c r="V9" s="14">
        <f>5*SUM($O9:P9)</f>
        <v>1.014746422886573</v>
      </c>
      <c r="W9" s="14">
        <f>5*SUM($O9:Q9)</f>
        <v>1.6492844028319982</v>
      </c>
      <c r="X9" s="14">
        <f>5*SUM($O9:R9)</f>
        <v>2.1019219319733051</v>
      </c>
      <c r="Z9" s="31">
        <f t="shared" si="28"/>
        <v>1978</v>
      </c>
      <c r="AA9" s="14">
        <f t="shared" si="29"/>
        <v>0.31185634446370314</v>
      </c>
      <c r="AB9" s="14">
        <f t="shared" si="11"/>
        <v>0.61526466941913993</v>
      </c>
      <c r="AC9" s="14">
        <f t="shared" si="12"/>
        <v>0.78465540405852929</v>
      </c>
      <c r="AD9" s="15"/>
      <c r="AE9" s="31">
        <f t="shared" si="30"/>
        <v>1978</v>
      </c>
      <c r="AF9" s="14">
        <f t="shared" si="31"/>
        <v>-0.15290358677244154</v>
      </c>
      <c r="AG9" s="14">
        <f t="shared" si="13"/>
        <v>0.72215847394651633</v>
      </c>
      <c r="AH9" s="14">
        <f t="shared" si="14"/>
        <v>1.4167097209086221</v>
      </c>
      <c r="AJ9" s="31">
        <f t="shared" si="15"/>
        <v>1978</v>
      </c>
      <c r="AK9" s="14">
        <f t="shared" si="16"/>
        <v>-1.5068119859061953</v>
      </c>
      <c r="AL9" s="14">
        <f t="shared" si="17"/>
        <v>-0.69056824035835196</v>
      </c>
      <c r="AM9" s="14">
        <f t="shared" si="18"/>
        <v>0.14171611978155596</v>
      </c>
      <c r="AO9" s="13">
        <f t="shared" si="19"/>
        <v>8.2768030446582389E-2</v>
      </c>
      <c r="AP9" s="13">
        <f t="shared" si="32"/>
        <v>1.1653419867368953</v>
      </c>
      <c r="AQ9" s="13"/>
      <c r="AR9" s="13">
        <f t="shared" si="20"/>
        <v>8.2768030446582389E-2</v>
      </c>
      <c r="AS9" s="13">
        <f t="shared" si="21"/>
        <v>1.1653419867368953</v>
      </c>
      <c r="AU9" s="13">
        <f t="shared" si="22"/>
        <v>2.4796176950817777</v>
      </c>
      <c r="AV9" s="13">
        <f t="shared" si="23"/>
        <v>2.4781652025947487</v>
      </c>
      <c r="AW9" s="13">
        <f t="shared" si="24"/>
        <v>2.477289617182171</v>
      </c>
      <c r="AX9" s="13">
        <f t="shared" si="33"/>
        <v>2.4783575049528994</v>
      </c>
      <c r="AZ9" s="31">
        <f t="shared" si="25"/>
        <v>1978</v>
      </c>
      <c r="BA9" s="13">
        <v>0</v>
      </c>
      <c r="BB9" s="16">
        <f t="shared" si="26"/>
        <v>4.2191167917086288E-10</v>
      </c>
      <c r="BC9" s="13">
        <f t="shared" si="26"/>
        <v>1.1920341192359147E-6</v>
      </c>
      <c r="BD9" s="13">
        <f t="shared" si="26"/>
        <v>1.1961538341060455E-4</v>
      </c>
      <c r="BE9" s="13">
        <f t="shared" si="26"/>
        <v>1.9396409765842797E-3</v>
      </c>
      <c r="BF9" s="13">
        <f t="shared" si="26"/>
        <v>1.1034035864493924E-2</v>
      </c>
      <c r="BG9" s="16">
        <f t="shared" si="26"/>
        <v>3.4455240633243352E-2</v>
      </c>
      <c r="BH9" s="13">
        <f t="shared" si="26"/>
        <v>6.293689582898683E-2</v>
      </c>
      <c r="BI9" s="13">
        <f t="shared" si="26"/>
        <v>9.178939420323709E-2</v>
      </c>
      <c r="BJ9" s="13">
        <f t="shared" si="26"/>
        <v>0.11351791707230389</v>
      </c>
      <c r="BK9" s="13">
        <f t="shared" si="26"/>
        <v>0.13080390928328336</v>
      </c>
      <c r="BL9" s="16">
        <f t="shared" si="27"/>
        <v>0.13930463597386267</v>
      </c>
      <c r="BM9" s="13">
        <f t="shared" si="27"/>
        <v>0.14311295559331885</v>
      </c>
      <c r="BN9" s="13">
        <f t="shared" si="27"/>
        <v>0.14362834076160302</v>
      </c>
      <c r="BO9" s="13">
        <f t="shared" si="27"/>
        <v>0.14158693491048249</v>
      </c>
      <c r="BP9" s="13">
        <f t="shared" si="27"/>
        <v>0.13870690665880364</v>
      </c>
      <c r="BQ9" s="16">
        <f t="shared" si="27"/>
        <v>0.13384380776330876</v>
      </c>
      <c r="BR9" s="13">
        <f t="shared" si="27"/>
        <v>0.12760574920332574</v>
      </c>
      <c r="BS9" s="13">
        <f t="shared" si="27"/>
        <v>0.12106789522572728</v>
      </c>
      <c r="BT9" s="13">
        <f t="shared" si="27"/>
        <v>0.11395731733898967</v>
      </c>
      <c r="BU9" s="13">
        <f t="shared" si="27"/>
        <v>0.10618267864422198</v>
      </c>
      <c r="BV9" s="16">
        <f t="shared" si="27"/>
        <v>9.819454096954712E-2</v>
      </c>
      <c r="BW9" s="13">
        <f t="shared" si="27"/>
        <v>9.0532605454558865E-2</v>
      </c>
      <c r="BX9" s="13">
        <f t="shared" si="27"/>
        <v>8.298895944237146E-2</v>
      </c>
      <c r="BY9" s="13">
        <f t="shared" si="27"/>
        <v>7.5516839970094077E-2</v>
      </c>
      <c r="BZ9" s="17"/>
      <c r="CA9" s="5"/>
      <c r="CB9" s="5"/>
      <c r="CC9" s="17"/>
      <c r="CD9" s="17"/>
      <c r="CE9" s="17"/>
      <c r="CF9" s="17"/>
      <c r="CG9" s="31">
        <v>12.5</v>
      </c>
      <c r="CH9" s="32">
        <v>-2.555545</v>
      </c>
      <c r="CI9" s="32">
        <f t="shared" si="42"/>
        <v>2.5528085116893268E-6</v>
      </c>
      <c r="CK9" s="31">
        <v>40</v>
      </c>
      <c r="CL9" s="18">
        <f t="shared" si="34"/>
        <v>0.9301904711169463</v>
      </c>
      <c r="CM9" s="18">
        <f t="shared" si="35"/>
        <v>2.6260200000000005</v>
      </c>
      <c r="CN9" s="18">
        <f t="shared" si="36"/>
        <v>0.93780278582953702</v>
      </c>
      <c r="CO9" s="18">
        <f t="shared" si="37"/>
        <v>2.7455090802066415</v>
      </c>
      <c r="CP9" s="18">
        <f t="shared" si="38"/>
        <v>2.3488652855486118</v>
      </c>
      <c r="CQ9" s="18"/>
      <c r="CR9" s="18">
        <f t="shared" si="39"/>
        <v>0.39664379465802968</v>
      </c>
      <c r="CS9" s="18">
        <f t="shared" si="40"/>
        <v>2.3488652855486118</v>
      </c>
    </row>
    <row r="10" spans="1:97" ht="13.8" x14ac:dyDescent="0.25">
      <c r="B10" s="31" t="str">
        <f>YEAR(A4)&amp;"-"&amp;YEAR(A5)</f>
        <v>1982-1992</v>
      </c>
      <c r="C10" s="13">
        <f t="shared" si="43"/>
        <v>-8.3007498371088523E-3</v>
      </c>
      <c r="D10" s="13">
        <f t="shared" si="43"/>
        <v>2.2138093187396208E-3</v>
      </c>
      <c r="E10" s="13">
        <f t="shared" si="43"/>
        <v>2.6287002508700155E-2</v>
      </c>
      <c r="F10" s="13">
        <f t="shared" si="43"/>
        <v>3.674464756080395E-2</v>
      </c>
      <c r="H10" s="31">
        <f t="shared" si="0"/>
        <v>1979</v>
      </c>
      <c r="I10" s="27">
        <f t="shared" si="1"/>
        <v>603399.65208337188</v>
      </c>
      <c r="J10" s="27">
        <f t="shared" si="2"/>
        <v>542177.11698244454</v>
      </c>
      <c r="K10" s="27">
        <f t="shared" si="3"/>
        <v>437359.46500703052</v>
      </c>
      <c r="L10" s="27">
        <f t="shared" si="4"/>
        <v>363589.02329313062</v>
      </c>
      <c r="M10" s="20"/>
      <c r="N10" s="31">
        <f t="shared" si="5"/>
        <v>1979</v>
      </c>
      <c r="O10" s="12">
        <f t="shared" si="6"/>
        <v>6.1042461447940601E-2</v>
      </c>
      <c r="P10" s="12">
        <f t="shared" si="7"/>
        <v>0.14000037556446296</v>
      </c>
      <c r="Q10" s="12">
        <f t="shared" si="8"/>
        <v>0.12658008898723633</v>
      </c>
      <c r="R10" s="12">
        <f t="shared" si="9"/>
        <v>8.9488400131838439E-2</v>
      </c>
      <c r="T10" s="31">
        <f t="shared" si="10"/>
        <v>1979</v>
      </c>
      <c r="U10" s="14">
        <f>5*SUM($O10:O10)</f>
        <v>0.305212307239703</v>
      </c>
      <c r="V10" s="14">
        <f>5*SUM($O10:P10)</f>
        <v>1.0052141850620178</v>
      </c>
      <c r="W10" s="14">
        <f>5*SUM($O10:Q10)</f>
        <v>1.6381146299981995</v>
      </c>
      <c r="X10" s="14">
        <f>5*SUM($O10:R10)</f>
        <v>2.0855566306573916</v>
      </c>
      <c r="Z10" s="31">
        <f t="shared" si="28"/>
        <v>1979</v>
      </c>
      <c r="AA10" s="14">
        <f t="shared" si="29"/>
        <v>0.30362912877206621</v>
      </c>
      <c r="AB10" s="14">
        <f t="shared" si="11"/>
        <v>0.61364093003865217</v>
      </c>
      <c r="AC10" s="14">
        <f t="shared" si="12"/>
        <v>0.7854567964821203</v>
      </c>
      <c r="AD10" s="15"/>
      <c r="AE10" s="31">
        <f t="shared" si="30"/>
        <v>1979</v>
      </c>
      <c r="AF10" s="14">
        <f t="shared" si="31"/>
        <v>-0.17558918975853688</v>
      </c>
      <c r="AG10" s="14">
        <f t="shared" si="13"/>
        <v>0.71673248732559935</v>
      </c>
      <c r="AH10" s="14">
        <f t="shared" si="14"/>
        <v>1.4209279430301667</v>
      </c>
      <c r="AJ10" s="31">
        <f t="shared" si="15"/>
        <v>1979</v>
      </c>
      <c r="AK10" s="14">
        <f t="shared" si="16"/>
        <v>-1.5294975888922906</v>
      </c>
      <c r="AL10" s="14">
        <f t="shared" si="17"/>
        <v>-0.69599422697926894</v>
      </c>
      <c r="AM10" s="14">
        <f t="shared" si="18"/>
        <v>0.14593434190310051</v>
      </c>
      <c r="AO10" s="13">
        <f t="shared" si="19"/>
        <v>8.4358182569056056E-2</v>
      </c>
      <c r="AP10" s="13">
        <f t="shared" si="32"/>
        <v>1.1843423972635367</v>
      </c>
      <c r="AQ10" s="13"/>
      <c r="AR10" s="13">
        <f t="shared" si="20"/>
        <v>8.4358182569056056E-2</v>
      </c>
      <c r="AS10" s="13">
        <f t="shared" si="21"/>
        <v>1.1843423972635367</v>
      </c>
      <c r="AU10" s="13">
        <f t="shared" si="22"/>
        <v>2.4517748473286707</v>
      </c>
      <c r="AV10" s="13">
        <f t="shared" si="23"/>
        <v>2.4466134144501184</v>
      </c>
      <c r="AW10" s="13">
        <f t="shared" si="24"/>
        <v>2.4462165098558803</v>
      </c>
      <c r="AX10" s="13">
        <f t="shared" si="33"/>
        <v>2.4482015905448899</v>
      </c>
      <c r="AZ10" s="31">
        <f t="shared" si="25"/>
        <v>1979</v>
      </c>
      <c r="BA10" s="13">
        <v>0</v>
      </c>
      <c r="BB10" s="13">
        <f t="shared" si="26"/>
        <v>1.2992860048981537E-10</v>
      </c>
      <c r="BC10" s="16">
        <f t="shared" si="26"/>
        <v>6.1762078448232812E-7</v>
      </c>
      <c r="BD10" s="13">
        <f t="shared" si="26"/>
        <v>8.1306494160212652E-5</v>
      </c>
      <c r="BE10" s="13">
        <f t="shared" si="26"/>
        <v>1.5377849364362425E-3</v>
      </c>
      <c r="BF10" s="13">
        <f t="shared" si="26"/>
        <v>9.5999547895288546E-3</v>
      </c>
      <c r="BG10" s="13">
        <f t="shared" si="26"/>
        <v>3.1767269515788302E-2</v>
      </c>
      <c r="BH10" s="16">
        <f t="shared" si="26"/>
        <v>6.0074923180742798E-2</v>
      </c>
      <c r="BI10" s="13">
        <f t="shared" si="26"/>
        <v>8.9456660207582625E-2</v>
      </c>
      <c r="BJ10" s="13">
        <f t="shared" si="26"/>
        <v>0.11205861259076018</v>
      </c>
      <c r="BK10" s="13">
        <f t="shared" si="26"/>
        <v>0.13014864396608322</v>
      </c>
      <c r="BL10" s="13">
        <f t="shared" si="27"/>
        <v>0.13927120680887811</v>
      </c>
      <c r="BM10" s="16">
        <f t="shared" si="27"/>
        <v>0.14346096163793351</v>
      </c>
      <c r="BN10" s="13">
        <f t="shared" si="27"/>
        <v>0.14415506174053505</v>
      </c>
      <c r="BO10" s="13">
        <f t="shared" si="27"/>
        <v>0.14213616584006075</v>
      </c>
      <c r="BP10" s="13">
        <f t="shared" si="27"/>
        <v>0.13916896522673031</v>
      </c>
      <c r="BQ10" s="13">
        <f t="shared" si="27"/>
        <v>0.13413773538113172</v>
      </c>
      <c r="BR10" s="16">
        <f t="shared" si="27"/>
        <v>0.12768205707285668</v>
      </c>
      <c r="BS10" s="13">
        <f t="shared" si="27"/>
        <v>0.1209011798297395</v>
      </c>
      <c r="BT10" s="13">
        <f t="shared" si="27"/>
        <v>0.11353887634806695</v>
      </c>
      <c r="BU10" s="13">
        <f t="shared" si="27"/>
        <v>0.10551998044493927</v>
      </c>
      <c r="BV10" s="13">
        <f t="shared" si="27"/>
        <v>9.7305792952629991E-2</v>
      </c>
      <c r="BW10" s="16">
        <f t="shared" si="27"/>
        <v>8.9438234707325481E-2</v>
      </c>
      <c r="BX10" s="13">
        <f t="shared" si="27"/>
        <v>8.1714621204803245E-2</v>
      </c>
      <c r="BY10" s="13">
        <f t="shared" si="27"/>
        <v>7.4092426766753025E-2</v>
      </c>
      <c r="BZ10" s="17"/>
      <c r="CA10" s="5"/>
      <c r="CB10" s="5"/>
      <c r="CC10" s="17"/>
      <c r="CD10" s="17"/>
      <c r="CE10" s="17"/>
      <c r="CF10" s="17"/>
      <c r="CG10" s="31">
        <v>13</v>
      </c>
      <c r="CH10" s="32">
        <v>-2.3685399999999999</v>
      </c>
      <c r="CI10" s="32">
        <f t="shared" si="42"/>
        <v>2.2959345635607759E-5</v>
      </c>
      <c r="CK10" s="31">
        <v>45</v>
      </c>
      <c r="CL10" s="18">
        <f t="shared" si="34"/>
        <v>0.99188281925836119</v>
      </c>
      <c r="CM10" s="18">
        <f t="shared" si="35"/>
        <v>4.8097000000000021</v>
      </c>
      <c r="CN10" s="18">
        <f t="shared" si="36"/>
        <v>0.99188381114217239</v>
      </c>
      <c r="CO10" s="18">
        <f t="shared" si="37"/>
        <v>4.8098227023925411</v>
      </c>
      <c r="CP10" s="18">
        <f t="shared" si="38"/>
        <v>4.8085948977612238</v>
      </c>
      <c r="CQ10" s="18"/>
      <c r="CR10" s="18">
        <f t="shared" si="39"/>
        <v>1.2278046313172197E-3</v>
      </c>
      <c r="CS10" s="18">
        <f t="shared" si="40"/>
        <v>4.8085948977612238</v>
      </c>
    </row>
    <row r="11" spans="1:97" ht="13.8" x14ac:dyDescent="0.25">
      <c r="A11" s="39" t="s">
        <v>38</v>
      </c>
      <c r="B11" s="22">
        <f>B6</f>
        <v>1991</v>
      </c>
      <c r="C11" s="23">
        <f t="array" ref="C11:F11">CB3:CE3</f>
        <v>7.3937155214223324E-2</v>
      </c>
      <c r="D11" s="23">
        <v>0.56630035796854572</v>
      </c>
      <c r="E11" s="23">
        <v>1.2853776050826324</v>
      </c>
      <c r="F11" s="23">
        <v>1.9220156425648192</v>
      </c>
      <c r="H11" s="31">
        <f t="shared" si="0"/>
        <v>1980</v>
      </c>
      <c r="I11" s="27">
        <f t="shared" si="1"/>
        <v>620488.45818774006</v>
      </c>
      <c r="J11" s="27">
        <f t="shared" si="2"/>
        <v>560654.81113300624</v>
      </c>
      <c r="K11" s="27">
        <f t="shared" si="3"/>
        <v>451843.72197068739</v>
      </c>
      <c r="L11" s="27">
        <f t="shared" si="4"/>
        <v>375956.98302437941</v>
      </c>
      <c r="M11" s="20"/>
      <c r="N11" s="31">
        <f t="shared" si="5"/>
        <v>1980</v>
      </c>
      <c r="O11" s="12">
        <f t="shared" si="6"/>
        <v>6.2147811923251549E-2</v>
      </c>
      <c r="P11" s="12">
        <f t="shared" si="7"/>
        <v>0.14219801278239058</v>
      </c>
      <c r="Q11" s="12">
        <f t="shared" si="8"/>
        <v>0.13228246204088578</v>
      </c>
      <c r="R11" s="12">
        <f t="shared" si="9"/>
        <v>8.9821446401516111E-2</v>
      </c>
      <c r="T11" s="31">
        <f t="shared" si="10"/>
        <v>1980</v>
      </c>
      <c r="U11" s="14">
        <f>5*SUM($O11:O11)</f>
        <v>0.31073905961625775</v>
      </c>
      <c r="V11" s="14">
        <f>5*SUM($O11:P11)</f>
        <v>1.0217291235282107</v>
      </c>
      <c r="W11" s="14">
        <f>5*SUM($O11:Q11)</f>
        <v>1.6831414337326396</v>
      </c>
      <c r="X11" s="14">
        <f>5*SUM($O11:R11)</f>
        <v>2.13224866574022</v>
      </c>
      <c r="Z11" s="31">
        <f t="shared" si="28"/>
        <v>1980</v>
      </c>
      <c r="AA11" s="14">
        <f t="shared" si="29"/>
        <v>0.30413056891558599</v>
      </c>
      <c r="AB11" s="14">
        <f t="shared" si="11"/>
        <v>0.60703699822917456</v>
      </c>
      <c r="AC11" s="14">
        <f t="shared" si="12"/>
        <v>0.78937389469456143</v>
      </c>
      <c r="AD11" s="15"/>
      <c r="AE11" s="31">
        <f t="shared" si="30"/>
        <v>1980</v>
      </c>
      <c r="AF11" s="14">
        <f t="shared" si="31"/>
        <v>-0.17420383605284481</v>
      </c>
      <c r="AG11" s="14">
        <f t="shared" si="13"/>
        <v>0.69481750041064627</v>
      </c>
      <c r="AH11" s="14">
        <f t="shared" si="14"/>
        <v>1.4417428612429501</v>
      </c>
      <c r="AJ11" s="31">
        <f t="shared" si="15"/>
        <v>1980</v>
      </c>
      <c r="AK11" s="14">
        <f t="shared" si="16"/>
        <v>-1.5281122351865986</v>
      </c>
      <c r="AL11" s="14">
        <f t="shared" si="17"/>
        <v>-0.71790921389422202</v>
      </c>
      <c r="AM11" s="14">
        <f t="shared" si="18"/>
        <v>0.16674926011588398</v>
      </c>
      <c r="AO11" s="13">
        <f t="shared" si="19"/>
        <v>9.1216489397875855E-2</v>
      </c>
      <c r="AP11" s="13">
        <f t="shared" si="32"/>
        <v>1.1982264265591163</v>
      </c>
      <c r="AQ11" s="13"/>
      <c r="AR11" s="13">
        <f t="shared" si="20"/>
        <v>9.1216489397875855E-2</v>
      </c>
      <c r="AS11" s="13">
        <f t="shared" si="21"/>
        <v>1.1982264265591163</v>
      </c>
      <c r="AU11" s="13">
        <f t="shared" si="22"/>
        <v>2.4761347161424347</v>
      </c>
      <c r="AV11" s="13">
        <f t="shared" si="23"/>
        <v>2.4973384067231787</v>
      </c>
      <c r="AW11" s="13">
        <f t="shared" si="24"/>
        <v>2.4902284795007925</v>
      </c>
      <c r="AX11" s="13">
        <f t="shared" si="33"/>
        <v>2.4879005341221352</v>
      </c>
      <c r="AZ11" s="31">
        <f t="shared" si="25"/>
        <v>1980</v>
      </c>
      <c r="BA11" s="13">
        <v>0</v>
      </c>
      <c r="BB11" s="13">
        <f t="shared" si="26"/>
        <v>6.2351608230698367E-11</v>
      </c>
      <c r="BC11" s="13">
        <f t="shared" si="26"/>
        <v>4.2049059333755063E-7</v>
      </c>
      <c r="BD11" s="16">
        <f t="shared" si="26"/>
        <v>6.6144145915204123E-5</v>
      </c>
      <c r="BE11" s="13">
        <f t="shared" si="26"/>
        <v>1.3801981928351552E-3</v>
      </c>
      <c r="BF11" s="13">
        <f t="shared" si="26"/>
        <v>9.1287853323459706E-3</v>
      </c>
      <c r="BG11" s="13">
        <f t="shared" si="26"/>
        <v>3.1282898162467924E-2</v>
      </c>
      <c r="BH11" s="13">
        <f t="shared" si="26"/>
        <v>6.0358358778262712E-2</v>
      </c>
      <c r="BI11" s="16">
        <f t="shared" si="26"/>
        <v>9.0910163506172176E-2</v>
      </c>
      <c r="BJ11" s="13">
        <f t="shared" si="26"/>
        <v>0.11462431073088748</v>
      </c>
      <c r="BK11" s="13">
        <f t="shared" si="26"/>
        <v>0.13360748626118923</v>
      </c>
      <c r="BL11" s="13">
        <f t="shared" si="27"/>
        <v>0.14322358091093496</v>
      </c>
      <c r="BM11" s="13">
        <f t="shared" si="27"/>
        <v>0.14761371725036557</v>
      </c>
      <c r="BN11" s="16">
        <f t="shared" si="27"/>
        <v>0.1482911709679226</v>
      </c>
      <c r="BO11" s="13">
        <f t="shared" si="27"/>
        <v>0.14609682607585417</v>
      </c>
      <c r="BP11" s="13">
        <f t="shared" si="27"/>
        <v>0.14287371779495087</v>
      </c>
      <c r="BQ11" s="13">
        <f t="shared" si="27"/>
        <v>0.13749884455088399</v>
      </c>
      <c r="BR11" s="13">
        <f t="shared" si="27"/>
        <v>0.13065053116534756</v>
      </c>
      <c r="BS11" s="16">
        <f t="shared" si="27"/>
        <v>0.12346950050095287</v>
      </c>
      <c r="BT11" s="13">
        <f t="shared" si="27"/>
        <v>0.11570389705186974</v>
      </c>
      <c r="BU11" s="13">
        <f t="shared" si="27"/>
        <v>0.10728738719626876</v>
      </c>
      <c r="BV11" s="13">
        <f t="shared" si="27"/>
        <v>9.869758709914235E-2</v>
      </c>
      <c r="BW11" s="13">
        <f t="shared" si="27"/>
        <v>9.0487526764993664E-2</v>
      </c>
      <c r="BX11" s="16">
        <f t="shared" si="27"/>
        <v>8.2452263610412524E-2</v>
      </c>
      <c r="BY11" s="13">
        <f t="shared" si="27"/>
        <v>7.4550054759526849E-2</v>
      </c>
      <c r="BZ11" s="17"/>
      <c r="CA11" s="5"/>
      <c r="CB11" s="5"/>
      <c r="CC11" s="17"/>
      <c r="CD11" s="17"/>
      <c r="CE11" s="17"/>
      <c r="CF11" s="17"/>
      <c r="CG11" s="31">
        <v>13.5</v>
      </c>
      <c r="CH11" s="32">
        <v>-2.2046649999999999</v>
      </c>
      <c r="CI11" s="32">
        <f t="shared" si="42"/>
        <v>1.1538761379165061E-4</v>
      </c>
      <c r="CK11" s="44">
        <v>50</v>
      </c>
      <c r="CL11" s="45">
        <f t="shared" si="34"/>
        <v>0.99999899999999997</v>
      </c>
      <c r="CM11" s="45">
        <f t="shared" si="35"/>
        <v>13.81551005793531</v>
      </c>
      <c r="CN11" s="45"/>
      <c r="CO11" s="45"/>
      <c r="CP11" s="45"/>
      <c r="CQ11" s="45"/>
      <c r="CR11" s="45"/>
      <c r="CS11" s="45"/>
    </row>
    <row r="12" spans="1:97" ht="13.8" x14ac:dyDescent="0.25">
      <c r="A12" s="69" t="s">
        <v>22</v>
      </c>
      <c r="B12" s="21"/>
      <c r="C12" s="24">
        <f>C11/C6</f>
        <v>0.52812253724445224</v>
      </c>
      <c r="D12" s="24">
        <f>D11/D6</f>
        <v>0.82072515647615329</v>
      </c>
      <c r="E12" s="24">
        <f>E11/E6</f>
        <v>0.93823182852746889</v>
      </c>
      <c r="F12" s="24">
        <f>F11/F6</f>
        <v>0.9514928923588214</v>
      </c>
      <c r="H12" s="31">
        <f t="shared" si="0"/>
        <v>1981</v>
      </c>
      <c r="I12" s="27">
        <f t="shared" si="1"/>
        <v>638061.23423319857</v>
      </c>
      <c r="J12" s="27">
        <f t="shared" si="2"/>
        <v>579762.23525635235</v>
      </c>
      <c r="K12" s="27">
        <f t="shared" si="3"/>
        <v>466807.66147599416</v>
      </c>
      <c r="L12" s="27">
        <f t="shared" si="4"/>
        <v>388745.6552032383</v>
      </c>
      <c r="M12" s="20"/>
      <c r="N12" s="31">
        <f t="shared" si="5"/>
        <v>1981</v>
      </c>
      <c r="O12" s="12">
        <f t="shared" si="6"/>
        <v>6.3084854306144383E-2</v>
      </c>
      <c r="P12" s="12">
        <f t="shared" si="7"/>
        <v>0.14840049035266534</v>
      </c>
      <c r="Q12" s="12">
        <f t="shared" si="8"/>
        <v>0.1389201706650543</v>
      </c>
      <c r="R12" s="12">
        <f t="shared" si="9"/>
        <v>9.3876290349587943E-2</v>
      </c>
      <c r="T12" s="31">
        <f t="shared" si="10"/>
        <v>1981</v>
      </c>
      <c r="U12" s="14">
        <f>5*SUM($O12:O12)</f>
        <v>0.31542427153072194</v>
      </c>
      <c r="V12" s="14">
        <f>5*SUM($O12:P12)</f>
        <v>1.0574267232940486</v>
      </c>
      <c r="W12" s="14">
        <f>5*SUM($O12:Q12)</f>
        <v>1.7520275766193198</v>
      </c>
      <c r="X12" s="14">
        <f>5*SUM($O12:R12)</f>
        <v>2.2214090283672596</v>
      </c>
      <c r="Z12" s="31">
        <f t="shared" si="28"/>
        <v>1981</v>
      </c>
      <c r="AA12" s="14">
        <f t="shared" si="29"/>
        <v>0.29829421233854042</v>
      </c>
      <c r="AB12" s="14">
        <f t="shared" si="11"/>
        <v>0.60354456596764294</v>
      </c>
      <c r="AC12" s="14">
        <f t="shared" si="12"/>
        <v>0.78870102455064917</v>
      </c>
      <c r="AD12" s="15"/>
      <c r="AE12" s="31">
        <f t="shared" si="30"/>
        <v>1981</v>
      </c>
      <c r="AF12" s="14">
        <f t="shared" si="31"/>
        <v>-0.19035172005723713</v>
      </c>
      <c r="AG12" s="14">
        <f t="shared" si="13"/>
        <v>0.6833247879386154</v>
      </c>
      <c r="AH12" s="14">
        <f t="shared" si="14"/>
        <v>1.4381437699343098</v>
      </c>
      <c r="AJ12" s="31">
        <f t="shared" si="15"/>
        <v>1981</v>
      </c>
      <c r="AK12" s="14">
        <f t="shared" si="16"/>
        <v>-1.5442601191909908</v>
      </c>
      <c r="AL12" s="14">
        <f t="shared" si="17"/>
        <v>-0.7294019263662529</v>
      </c>
      <c r="AM12" s="14">
        <f t="shared" si="18"/>
        <v>0.16315016880724365</v>
      </c>
      <c r="AO12" s="13">
        <f t="shared" si="19"/>
        <v>8.5031091974934539E-2</v>
      </c>
      <c r="AP12" s="13">
        <f t="shared" si="32"/>
        <v>1.2071042154042908</v>
      </c>
      <c r="AQ12" s="13"/>
      <c r="AR12" s="13">
        <f t="shared" si="20"/>
        <v>8.5031091974934539E-2</v>
      </c>
      <c r="AS12" s="13">
        <f t="shared" si="21"/>
        <v>1.2071042154042908</v>
      </c>
      <c r="AU12" s="13">
        <f t="shared" si="22"/>
        <v>2.5762381726628822</v>
      </c>
      <c r="AV12" s="13">
        <f t="shared" si="23"/>
        <v>2.5995174918809156</v>
      </c>
      <c r="AW12" s="13">
        <f t="shared" si="24"/>
        <v>2.5915737514949524</v>
      </c>
      <c r="AX12" s="13">
        <f t="shared" si="33"/>
        <v>2.5891098053462502</v>
      </c>
      <c r="AZ12" s="31">
        <f t="shared" si="25"/>
        <v>1981</v>
      </c>
      <c r="BA12" s="13">
        <v>0</v>
      </c>
      <c r="BB12" s="13">
        <f t="shared" si="26"/>
        <v>3.0443261118639118E-11</v>
      </c>
      <c r="BC12" s="13">
        <f t="shared" si="26"/>
        <v>2.8462689727366247E-7</v>
      </c>
      <c r="BD12" s="13">
        <f t="shared" si="26"/>
        <v>5.3180635960087105E-5</v>
      </c>
      <c r="BE12" s="16">
        <f t="shared" si="26"/>
        <v>1.2247550661796754E-3</v>
      </c>
      <c r="BF12" s="13">
        <f t="shared" si="26"/>
        <v>8.6089023791954995E-3</v>
      </c>
      <c r="BG12" s="13">
        <f t="shared" si="26"/>
        <v>3.0679051730538445E-2</v>
      </c>
      <c r="BH12" s="13">
        <f t="shared" si="26"/>
        <v>6.0647620330317897E-2</v>
      </c>
      <c r="BI12" s="13">
        <f t="shared" si="26"/>
        <v>9.2750051617141088E-2</v>
      </c>
      <c r="BJ12" s="16">
        <f t="shared" si="26"/>
        <v>0.11811455796066235</v>
      </c>
      <c r="BK12" s="13">
        <f t="shared" si="26"/>
        <v>0.13859641685603205</v>
      </c>
      <c r="BL12" s="13">
        <f t="shared" si="27"/>
        <v>0.14924376803025893</v>
      </c>
      <c r="BM12" s="13">
        <f t="shared" si="27"/>
        <v>0.15428530390669851</v>
      </c>
      <c r="BN12" s="13">
        <f t="shared" si="27"/>
        <v>0.1553047845021214</v>
      </c>
      <c r="BO12" s="16">
        <f t="shared" si="27"/>
        <v>0.15320125604688273</v>
      </c>
      <c r="BP12" s="13">
        <f t="shared" si="27"/>
        <v>0.14992979994157585</v>
      </c>
      <c r="BQ12" s="13">
        <f t="shared" si="27"/>
        <v>0.14433255304213444</v>
      </c>
      <c r="BR12" s="13">
        <f t="shared" si="27"/>
        <v>0.13713816769279594</v>
      </c>
      <c r="BS12" s="13">
        <f t="shared" si="27"/>
        <v>0.12955915574957702</v>
      </c>
      <c r="BT12" s="16">
        <f t="shared" si="27"/>
        <v>0.12134337477583447</v>
      </c>
      <c r="BU12" s="13">
        <f t="shared" si="27"/>
        <v>0.11243177773666613</v>
      </c>
      <c r="BV12" s="13">
        <f t="shared" si="27"/>
        <v>0.10333387613650495</v>
      </c>
      <c r="BW12" s="13">
        <f t="shared" si="27"/>
        <v>9.4634700131573574E-2</v>
      </c>
      <c r="BX12" s="13">
        <f t="shared" si="27"/>
        <v>8.6123540096116738E-2</v>
      </c>
      <c r="BY12" s="16">
        <f t="shared" si="27"/>
        <v>7.7760138364572143E-2</v>
      </c>
      <c r="BZ12" s="17"/>
      <c r="CA12" s="5"/>
      <c r="CB12" s="5"/>
      <c r="CC12" s="17"/>
      <c r="CD12" s="17"/>
      <c r="CE12" s="17"/>
      <c r="CF12" s="17"/>
      <c r="CG12" s="31">
        <v>14</v>
      </c>
      <c r="CH12" s="32">
        <v>-2.0407899999999999</v>
      </c>
      <c r="CI12" s="32">
        <f t="shared" si="42"/>
        <v>4.5432980513205316E-4</v>
      </c>
      <c r="CQ12" s="13">
        <f>AVERAGE(CQ5:CQ7)</f>
        <v>0.95738571925536819</v>
      </c>
    </row>
    <row r="13" spans="1:97" ht="13.8" x14ac:dyDescent="0.25">
      <c r="A13" s="69" t="s">
        <v>23</v>
      </c>
      <c r="B13" s="21"/>
      <c r="C13" s="21"/>
      <c r="D13" s="21"/>
      <c r="E13" s="79">
        <f>AVERAGE(E12:F12)</f>
        <v>0.9448623604431452</v>
      </c>
      <c r="F13" s="80"/>
      <c r="G13" s="4"/>
      <c r="H13" s="31">
        <f t="shared" si="0"/>
        <v>1982</v>
      </c>
      <c r="I13" s="27">
        <f t="shared" si="1"/>
        <v>651491.78831533052</v>
      </c>
      <c r="J13" s="27">
        <f t="shared" si="2"/>
        <v>599520.850896082</v>
      </c>
      <c r="K13" s="27">
        <f t="shared" si="3"/>
        <v>482267.16941487766</v>
      </c>
      <c r="L13" s="27">
        <f t="shared" si="4"/>
        <v>401969.35091798851</v>
      </c>
      <c r="M13" s="20"/>
      <c r="N13" s="31">
        <f t="shared" si="5"/>
        <v>1982</v>
      </c>
      <c r="O13" s="12">
        <f t="shared" si="6"/>
        <v>6.0320023528798887E-2</v>
      </c>
      <c r="P13" s="12">
        <f t="shared" si="7"/>
        <v>0.14354963613253444</v>
      </c>
      <c r="Q13" s="12">
        <f t="shared" si="8"/>
        <v>0.14106081507173263</v>
      </c>
      <c r="R13" s="12">
        <f t="shared" si="9"/>
        <v>9.5544597896061373E-2</v>
      </c>
      <c r="T13" s="31">
        <f t="shared" si="10"/>
        <v>1982</v>
      </c>
      <c r="U13" s="14">
        <f>5*SUM($O13:O13)</f>
        <v>0.30160011764399441</v>
      </c>
      <c r="V13" s="14">
        <f>5*SUM($O13:P13)</f>
        <v>1.0193482983066666</v>
      </c>
      <c r="W13" s="14">
        <f>5*SUM($O13:Q13)</f>
        <v>1.7246523736653296</v>
      </c>
      <c r="X13" s="14">
        <f>5*SUM($O13:R13)</f>
        <v>2.2023753631456366</v>
      </c>
      <c r="Z13" s="31">
        <f t="shared" si="28"/>
        <v>1982</v>
      </c>
      <c r="AA13" s="14">
        <f t="shared" si="29"/>
        <v>0.29587543153307871</v>
      </c>
      <c r="AB13" s="14">
        <f t="shared" si="11"/>
        <v>0.59104565874935677</v>
      </c>
      <c r="AC13" s="14">
        <f t="shared" si="12"/>
        <v>0.7830873894275775</v>
      </c>
      <c r="AD13" s="15"/>
      <c r="AE13" s="31">
        <f t="shared" si="30"/>
        <v>1982</v>
      </c>
      <c r="AF13" s="14">
        <f t="shared" si="31"/>
        <v>-0.19705970858573668</v>
      </c>
      <c r="AG13" s="14">
        <f t="shared" si="13"/>
        <v>0.64271644326095834</v>
      </c>
      <c r="AH13" s="14">
        <f t="shared" si="14"/>
        <v>1.4084950600132846</v>
      </c>
      <c r="AJ13" s="31">
        <f t="shared" si="15"/>
        <v>1982</v>
      </c>
      <c r="AK13" s="14">
        <f t="shared" si="16"/>
        <v>-1.5509681077194903</v>
      </c>
      <c r="AL13" s="14">
        <f t="shared" si="17"/>
        <v>-0.77001027104390996</v>
      </c>
      <c r="AM13" s="14">
        <f t="shared" si="18"/>
        <v>0.13350145888621845</v>
      </c>
      <c r="AO13" s="13">
        <f t="shared" si="19"/>
        <v>5.1646099027303438E-2</v>
      </c>
      <c r="AP13" s="13">
        <f t="shared" si="32"/>
        <v>1.1909896843312286</v>
      </c>
      <c r="AQ13" s="13"/>
      <c r="AR13" s="13">
        <f t="shared" si="20"/>
        <v>5.1646099027303438E-2</v>
      </c>
      <c r="AS13" s="13">
        <f t="shared" si="21"/>
        <v>1.1909896843312286</v>
      </c>
      <c r="AU13" s="13">
        <f t="shared" si="22"/>
        <v>2.560664544677612</v>
      </c>
      <c r="AV13" s="13">
        <f t="shared" si="23"/>
        <v>2.6054355133468334</v>
      </c>
      <c r="AW13" s="13">
        <f t="shared" si="24"/>
        <v>2.5927919283940133</v>
      </c>
      <c r="AX13" s="13">
        <f t="shared" si="33"/>
        <v>2.586297328806153</v>
      </c>
      <c r="AZ13" s="31">
        <f t="shared" si="25"/>
        <v>1982</v>
      </c>
      <c r="BA13" s="16">
        <v>0</v>
      </c>
      <c r="BB13" s="13">
        <f t="shared" ref="BB13:BK22" si="44">$AX13*(EXP(-(EXP(-$AO13-$AP13*VLOOKUP(BB$2+1,$CG$4:$CI$91,2))))-EXP(-EXP(-$AO13-$AP13*VLOOKUP(BB$2,$CG$4:$CI$91,2))))</f>
        <v>3.9859470944779636E-11</v>
      </c>
      <c r="BC13" s="13">
        <f t="shared" si="44"/>
        <v>3.0690078976529938E-7</v>
      </c>
      <c r="BD13" s="13">
        <f t="shared" si="44"/>
        <v>5.281369746752606E-5</v>
      </c>
      <c r="BE13" s="13">
        <f t="shared" si="44"/>
        <v>1.1744844495964175E-3</v>
      </c>
      <c r="BF13" s="16">
        <f t="shared" si="44"/>
        <v>8.1466313572402093E-3</v>
      </c>
      <c r="BG13" s="13">
        <f t="shared" si="44"/>
        <v>2.8965554818454937E-2</v>
      </c>
      <c r="BH13" s="13">
        <f t="shared" si="44"/>
        <v>5.7440191779852379E-2</v>
      </c>
      <c r="BI13" s="13">
        <f t="shared" si="44"/>
        <v>8.8315703735945772E-2</v>
      </c>
      <c r="BJ13" s="13">
        <f t="shared" si="44"/>
        <v>0.11315440682838714</v>
      </c>
      <c r="BK13" s="16">
        <f t="shared" si="44"/>
        <v>0.13360557028262676</v>
      </c>
      <c r="BL13" s="13">
        <f t="shared" ref="BL13:BY22" si="45">$AX13*(EXP(-(EXP(-$AO13-$AP13*VLOOKUP(BL$2+1,$CG$4:$CI$91,2))))-EXP(-EXP(-$AO13-$AP13*VLOOKUP(BL$2,$CG$4:$CI$91,2))))</f>
        <v>0.14474944893757774</v>
      </c>
      <c r="BM13" s="13">
        <f t="shared" si="45"/>
        <v>0.15051303402874189</v>
      </c>
      <c r="BN13" s="13">
        <f t="shared" si="45"/>
        <v>0.15235017826010144</v>
      </c>
      <c r="BO13" s="13">
        <f t="shared" si="45"/>
        <v>0.15108386144887556</v>
      </c>
      <c r="BP13" s="16">
        <f t="shared" si="45"/>
        <v>0.14861051934163566</v>
      </c>
      <c r="BQ13" s="13">
        <f t="shared" si="45"/>
        <v>0.14376559769233985</v>
      </c>
      <c r="BR13" s="13">
        <f t="shared" si="45"/>
        <v>0.13724781060188482</v>
      </c>
      <c r="BS13" s="13">
        <f t="shared" si="45"/>
        <v>0.13025983199949881</v>
      </c>
      <c r="BT13" s="13">
        <f t="shared" si="45"/>
        <v>0.12254802127030806</v>
      </c>
      <c r="BU13" s="16">
        <f t="shared" si="45"/>
        <v>0.11404775823818943</v>
      </c>
      <c r="BV13" s="13">
        <f t="shared" si="45"/>
        <v>0.10527235391663535</v>
      </c>
      <c r="BW13" s="13">
        <f t="shared" si="45"/>
        <v>9.6822472171272628E-2</v>
      </c>
      <c r="BX13" s="13">
        <f t="shared" si="45"/>
        <v>8.8490938156626855E-2</v>
      </c>
      <c r="BY13" s="13">
        <f t="shared" si="45"/>
        <v>8.0241215272070412E-2</v>
      </c>
      <c r="BZ13" s="17"/>
      <c r="CA13" s="5"/>
      <c r="CB13" s="5"/>
      <c r="CC13" s="17"/>
      <c r="CD13" s="17"/>
      <c r="CE13" s="17"/>
      <c r="CF13" s="17"/>
      <c r="CG13" s="31">
        <v>14.5</v>
      </c>
      <c r="CH13" s="32">
        <v>-1.8964449999999999</v>
      </c>
      <c r="CI13" s="32">
        <f t="shared" si="42"/>
        <v>1.2783714883985553E-3</v>
      </c>
    </row>
    <row r="14" spans="1:97" ht="13.8" x14ac:dyDescent="0.25">
      <c r="A14" s="40"/>
      <c r="B14" s="33"/>
      <c r="C14" s="34"/>
      <c r="D14" s="34"/>
      <c r="E14" s="35"/>
      <c r="F14" s="35"/>
      <c r="H14" s="31">
        <f t="shared" si="0"/>
        <v>1983</v>
      </c>
      <c r="I14" s="27">
        <f t="shared" si="1"/>
        <v>646106.30067515827</v>
      </c>
      <c r="J14" s="27">
        <f t="shared" si="2"/>
        <v>597176.91897466581</v>
      </c>
      <c r="K14" s="27">
        <f t="shared" si="3"/>
        <v>494502.56307825021</v>
      </c>
      <c r="L14" s="27">
        <f t="shared" si="4"/>
        <v>417283.46895054466</v>
      </c>
      <c r="M14" s="20"/>
      <c r="N14" s="31">
        <f t="shared" si="5"/>
        <v>1983</v>
      </c>
      <c r="O14" s="12">
        <f t="shared" si="6"/>
        <v>5.5837561036474664E-2</v>
      </c>
      <c r="P14" s="12">
        <f t="shared" si="7"/>
        <v>0.13599487424838888</v>
      </c>
      <c r="Q14" s="12">
        <f t="shared" si="8"/>
        <v>0.13192247092494247</v>
      </c>
      <c r="R14" s="12">
        <f t="shared" si="9"/>
        <v>8.9881346352699898E-2</v>
      </c>
      <c r="T14" s="31">
        <f t="shared" si="10"/>
        <v>1983</v>
      </c>
      <c r="U14" s="14">
        <f>5*SUM($O14:O14)</f>
        <v>0.27918780518237329</v>
      </c>
      <c r="V14" s="14">
        <f>5*SUM($O14:P14)</f>
        <v>0.95916217642431767</v>
      </c>
      <c r="W14" s="14">
        <f>5*SUM($O14:Q14)</f>
        <v>1.61877453104903</v>
      </c>
      <c r="X14" s="14">
        <f>5*SUM($O14:R14)</f>
        <v>2.0681812628125296</v>
      </c>
      <c r="Z14" s="31">
        <f t="shared" si="28"/>
        <v>1983</v>
      </c>
      <c r="AA14" s="14">
        <f t="shared" si="29"/>
        <v>0.29107466082864508</v>
      </c>
      <c r="AB14" s="14">
        <f t="shared" si="11"/>
        <v>0.59252363935003516</v>
      </c>
      <c r="AC14" s="14">
        <f t="shared" si="12"/>
        <v>0.78270437903863943</v>
      </c>
      <c r="AD14" s="15"/>
      <c r="AE14" s="31">
        <f t="shared" si="30"/>
        <v>1983</v>
      </c>
      <c r="AF14" s="14">
        <f t="shared" si="31"/>
        <v>-0.21040311820697788</v>
      </c>
      <c r="AG14" s="14">
        <f t="shared" si="13"/>
        <v>0.64747709949326027</v>
      </c>
      <c r="AH14" s="14">
        <f t="shared" si="14"/>
        <v>1.4064962382277186</v>
      </c>
      <c r="AJ14" s="31">
        <f t="shared" si="15"/>
        <v>1983</v>
      </c>
      <c r="AK14" s="14">
        <f t="shared" si="16"/>
        <v>-1.5643115173407316</v>
      </c>
      <c r="AL14" s="14">
        <f t="shared" si="17"/>
        <v>-0.76524961481160803</v>
      </c>
      <c r="AM14" s="14">
        <f t="shared" si="18"/>
        <v>0.13150263710065246</v>
      </c>
      <c r="AO14" s="13">
        <f t="shared" si="19"/>
        <v>5.1969674530972218E-2</v>
      </c>
      <c r="AP14" s="13">
        <f t="shared" si="32"/>
        <v>1.1989525257420848</v>
      </c>
      <c r="AQ14" s="13"/>
      <c r="AR14" s="13">
        <f t="shared" si="20"/>
        <v>5.1969674530972218E-2</v>
      </c>
      <c r="AS14" s="13">
        <f t="shared" si="21"/>
        <v>1.1989525257420848</v>
      </c>
      <c r="AU14" s="13">
        <f t="shared" si="22"/>
        <v>2.4083027032603312</v>
      </c>
      <c r="AV14" s="13">
        <f t="shared" si="23"/>
        <v>2.4395600482340662</v>
      </c>
      <c r="AW14" s="13">
        <f t="shared" si="24"/>
        <v>2.4300354094945233</v>
      </c>
      <c r="AX14" s="13">
        <f t="shared" si="33"/>
        <v>2.4259660536629735</v>
      </c>
      <c r="AZ14" s="31">
        <f t="shared" si="25"/>
        <v>1983</v>
      </c>
      <c r="BA14" s="13">
        <v>0</v>
      </c>
      <c r="BB14" s="16">
        <f t="shared" si="44"/>
        <v>2.1756794830418761E-11</v>
      </c>
      <c r="BC14" s="13">
        <f t="shared" si="44"/>
        <v>2.1361943301394305E-7</v>
      </c>
      <c r="BD14" s="13">
        <f t="shared" si="44"/>
        <v>4.1686531754038785E-5</v>
      </c>
      <c r="BE14" s="13">
        <f t="shared" si="44"/>
        <v>9.9481681450239645E-4</v>
      </c>
      <c r="BF14" s="13">
        <f t="shared" si="44"/>
        <v>7.1999975268344195E-3</v>
      </c>
      <c r="BG14" s="16">
        <f t="shared" si="44"/>
        <v>2.6289459686627752E-2</v>
      </c>
      <c r="BH14" s="13">
        <f t="shared" si="44"/>
        <v>5.2970138649173777E-2</v>
      </c>
      <c r="BI14" s="13">
        <f t="shared" si="44"/>
        <v>8.2228137011236213E-2</v>
      </c>
      <c r="BJ14" s="13">
        <f t="shared" si="44"/>
        <v>0.10598246923776229</v>
      </c>
      <c r="BK14" s="13">
        <f t="shared" si="44"/>
        <v>0.12560210770409416</v>
      </c>
      <c r="BL14" s="16">
        <f t="shared" si="45"/>
        <v>0.13638823548240039</v>
      </c>
      <c r="BM14" s="13">
        <f t="shared" si="45"/>
        <v>0.14200461616554125</v>
      </c>
      <c r="BN14" s="13">
        <f t="shared" si="45"/>
        <v>0.1438318511750438</v>
      </c>
      <c r="BO14" s="13">
        <f t="shared" si="45"/>
        <v>0.14266328406849213</v>
      </c>
      <c r="BP14" s="13">
        <f t="shared" si="45"/>
        <v>0.14030615281008957</v>
      </c>
      <c r="BQ14" s="16">
        <f t="shared" si="45"/>
        <v>0.13567515756793</v>
      </c>
      <c r="BR14" s="13">
        <f t="shared" si="45"/>
        <v>0.1294429606418718</v>
      </c>
      <c r="BS14" s="13">
        <f t="shared" si="45"/>
        <v>0.12275450557146023</v>
      </c>
      <c r="BT14" s="13">
        <f t="shared" si="45"/>
        <v>0.11537842080704327</v>
      </c>
      <c r="BU14" s="13">
        <f t="shared" si="45"/>
        <v>0.10726118710611036</v>
      </c>
      <c r="BV14" s="16">
        <f t="shared" si="45"/>
        <v>9.8891823993478317E-2</v>
      </c>
      <c r="BW14" s="13">
        <f t="shared" si="45"/>
        <v>9.0838012673632201E-2</v>
      </c>
      <c r="BX14" s="13">
        <f t="shared" si="45"/>
        <v>8.2906842318039672E-2</v>
      </c>
      <c r="BY14" s="13">
        <f t="shared" si="45"/>
        <v>7.5065793510705803E-2</v>
      </c>
      <c r="BZ14" s="17"/>
      <c r="CA14" s="5"/>
      <c r="CB14" s="5"/>
      <c r="CC14" s="17"/>
      <c r="CD14" s="17"/>
      <c r="CE14" s="17"/>
      <c r="CF14" s="17"/>
      <c r="CG14" s="31">
        <v>15</v>
      </c>
      <c r="CH14" s="32">
        <v>-1.7521</v>
      </c>
      <c r="CI14" s="32">
        <f t="shared" si="42"/>
        <v>3.1300695963830103E-3</v>
      </c>
    </row>
    <row r="15" spans="1:97" ht="13.8" x14ac:dyDescent="0.25">
      <c r="E15" s="25"/>
      <c r="F15" s="3"/>
      <c r="H15" s="31">
        <f t="shared" si="0"/>
        <v>1984</v>
      </c>
      <c r="I15" s="27">
        <f t="shared" si="1"/>
        <v>640765.33159629803</v>
      </c>
      <c r="J15" s="27">
        <f t="shared" si="2"/>
        <v>598500.41925091634</v>
      </c>
      <c r="K15" s="27">
        <f t="shared" si="3"/>
        <v>507673.91239207599</v>
      </c>
      <c r="L15" s="27">
        <f t="shared" si="4"/>
        <v>432901.58685013512</v>
      </c>
      <c r="N15" s="31">
        <f t="shared" si="5"/>
        <v>1984</v>
      </c>
      <c r="O15" s="12">
        <f t="shared" si="6"/>
        <v>5.8634570485269155E-2</v>
      </c>
      <c r="P15" s="12">
        <f t="shared" si="7"/>
        <v>0.140283945172644</v>
      </c>
      <c r="Q15" s="12">
        <f t="shared" si="8"/>
        <v>0.13249843720165502</v>
      </c>
      <c r="R15" s="12">
        <f t="shared" si="9"/>
        <v>9.0332309208045566E-2</v>
      </c>
      <c r="T15" s="31">
        <f t="shared" si="10"/>
        <v>1984</v>
      </c>
      <c r="U15" s="14">
        <f>5*SUM($O15:O15)</f>
        <v>0.29317285242634578</v>
      </c>
      <c r="V15" s="14">
        <f>5*SUM($O15:P15)</f>
        <v>0.99459257828956582</v>
      </c>
      <c r="W15" s="14">
        <f>5*SUM($O15:Q15)</f>
        <v>1.6570847642978408</v>
      </c>
      <c r="X15" s="14">
        <f>5*SUM($O15:R15)</f>
        <v>2.108746310338069</v>
      </c>
      <c r="Z15" s="31">
        <f t="shared" si="28"/>
        <v>1984</v>
      </c>
      <c r="AA15" s="14">
        <f t="shared" si="29"/>
        <v>0.29476678071590373</v>
      </c>
      <c r="AB15" s="14">
        <f t="shared" si="11"/>
        <v>0.60020621739951008</v>
      </c>
      <c r="AC15" s="14">
        <f t="shared" si="12"/>
        <v>0.7858151339371785</v>
      </c>
      <c r="AD15" s="15"/>
      <c r="AE15" s="31">
        <f t="shared" si="30"/>
        <v>1984</v>
      </c>
      <c r="AF15" s="14">
        <f t="shared" si="31"/>
        <v>-0.20013757905313351</v>
      </c>
      <c r="AG15" s="14">
        <f t="shared" si="13"/>
        <v>0.67239992672086535</v>
      </c>
      <c r="AH15" s="14">
        <f t="shared" si="14"/>
        <v>1.4228184682637373</v>
      </c>
      <c r="AJ15" s="31">
        <f t="shared" si="15"/>
        <v>1984</v>
      </c>
      <c r="AK15" s="14">
        <f t="shared" si="16"/>
        <v>-1.5540459781868872</v>
      </c>
      <c r="AL15" s="14">
        <f t="shared" si="17"/>
        <v>-0.74032678758400294</v>
      </c>
      <c r="AM15" s="14">
        <f t="shared" si="18"/>
        <v>0.14782486713667109</v>
      </c>
      <c r="AO15" s="13">
        <f t="shared" si="19"/>
        <v>7.1160109557977025E-2</v>
      </c>
      <c r="AP15" s="13">
        <f t="shared" si="32"/>
        <v>1.2031811185431578</v>
      </c>
      <c r="AQ15" s="13"/>
      <c r="AR15" s="13">
        <f t="shared" si="20"/>
        <v>7.1160109557977025E-2</v>
      </c>
      <c r="AS15" s="13">
        <f t="shared" si="21"/>
        <v>1.2031811185431578</v>
      </c>
      <c r="AU15" s="13">
        <f t="shared" si="22"/>
        <v>2.4537040048091447</v>
      </c>
      <c r="AV15" s="13">
        <f t="shared" si="23"/>
        <v>2.4749572329121734</v>
      </c>
      <c r="AW15" s="13">
        <f t="shared" si="24"/>
        <v>2.4676818594644705</v>
      </c>
      <c r="AX15" s="13">
        <f t="shared" si="33"/>
        <v>2.4654476990619294</v>
      </c>
      <c r="AZ15" s="31">
        <f t="shared" si="25"/>
        <v>1984</v>
      </c>
      <c r="BA15" s="13">
        <v>0</v>
      </c>
      <c r="BB15" s="13">
        <f t="shared" si="44"/>
        <v>2.6802406060739407E-11</v>
      </c>
      <c r="BC15" s="16">
        <f t="shared" si="44"/>
        <v>2.5181648448634603E-7</v>
      </c>
      <c r="BD15" s="13">
        <f t="shared" si="44"/>
        <v>4.752964363393626E-5</v>
      </c>
      <c r="BE15" s="13">
        <f t="shared" si="44"/>
        <v>1.1060249340999583E-3</v>
      </c>
      <c r="BF15" s="13">
        <f t="shared" si="44"/>
        <v>7.8485882084605788E-3</v>
      </c>
      <c r="BG15" s="13">
        <f t="shared" si="44"/>
        <v>2.8207242684073836E-2</v>
      </c>
      <c r="BH15" s="16">
        <f t="shared" si="44"/>
        <v>5.6150019240179781E-2</v>
      </c>
      <c r="BI15" s="13">
        <f t="shared" si="44"/>
        <v>8.6356392818857833E-2</v>
      </c>
      <c r="BJ15" s="13">
        <f t="shared" si="44"/>
        <v>0.11048421911359803</v>
      </c>
      <c r="BK15" s="13">
        <f t="shared" si="44"/>
        <v>0.13015074801383936</v>
      </c>
      <c r="BL15" s="13">
        <f t="shared" si="45"/>
        <v>0.1406192489641892</v>
      </c>
      <c r="BM15" s="16">
        <f t="shared" si="45"/>
        <v>0.14579032819998414</v>
      </c>
      <c r="BN15" s="13">
        <f t="shared" si="45"/>
        <v>0.14712740741727373</v>
      </c>
      <c r="BO15" s="13">
        <f t="shared" si="45"/>
        <v>0.14546480546815127</v>
      </c>
      <c r="BP15" s="13">
        <f t="shared" si="45"/>
        <v>0.14265249318261927</v>
      </c>
      <c r="BQ15" s="13">
        <f t="shared" si="45"/>
        <v>0.13758745343827236</v>
      </c>
      <c r="BR15" s="16">
        <f t="shared" si="45"/>
        <v>0.13095848933555579</v>
      </c>
      <c r="BS15" s="13">
        <f t="shared" si="45"/>
        <v>0.1239232070512707</v>
      </c>
      <c r="BT15" s="13">
        <f t="shared" si="45"/>
        <v>0.1162432941515073</v>
      </c>
      <c r="BU15" s="13">
        <f t="shared" si="45"/>
        <v>0.107862971803614</v>
      </c>
      <c r="BV15" s="13">
        <f t="shared" si="45"/>
        <v>9.927201036047513E-2</v>
      </c>
      <c r="BW15" s="16">
        <f t="shared" si="45"/>
        <v>9.1035600170262299E-2</v>
      </c>
      <c r="BX15" s="13">
        <f t="shared" si="45"/>
        <v>8.2954948164530681E-2</v>
      </c>
      <c r="BY15" s="13">
        <f t="shared" si="45"/>
        <v>7.4993844518986455E-2</v>
      </c>
      <c r="BZ15" s="17"/>
      <c r="CA15" s="5"/>
      <c r="CB15" s="5"/>
      <c r="CC15" s="17"/>
      <c r="CD15" s="17"/>
      <c r="CE15" s="17"/>
      <c r="CF15" s="17"/>
      <c r="CG15" s="31">
        <v>15.5</v>
      </c>
      <c r="CH15" s="32">
        <v>-1.6224799999999999</v>
      </c>
      <c r="CI15" s="32">
        <f t="shared" si="42"/>
        <v>6.3098868612186413E-3</v>
      </c>
    </row>
    <row r="16" spans="1:97" ht="14.4" x14ac:dyDescent="0.25">
      <c r="A16" s="67" t="s">
        <v>36</v>
      </c>
      <c r="B16" s="67" t="s">
        <v>20</v>
      </c>
      <c r="C16" s="41" t="s">
        <v>0</v>
      </c>
      <c r="D16" s="41" t="s">
        <v>1</v>
      </c>
      <c r="E16" s="41" t="s">
        <v>2</v>
      </c>
      <c r="F16" s="41" t="s">
        <v>3</v>
      </c>
      <c r="H16" s="31">
        <f t="shared" si="0"/>
        <v>1985</v>
      </c>
      <c r="I16" s="27">
        <f t="shared" si="1"/>
        <v>635468.51307079336</v>
      </c>
      <c r="J16" s="27">
        <f t="shared" si="2"/>
        <v>599826.85275001195</v>
      </c>
      <c r="K16" s="27">
        <f t="shared" si="3"/>
        <v>521196.08788093075</v>
      </c>
      <c r="L16" s="27">
        <f t="shared" si="4"/>
        <v>449104.26087254292</v>
      </c>
      <c r="N16" s="31">
        <f t="shared" si="5"/>
        <v>1985</v>
      </c>
      <c r="O16" s="12">
        <f t="shared" si="6"/>
        <v>5.4992496530047424E-2</v>
      </c>
      <c r="P16" s="12">
        <f t="shared" si="7"/>
        <v>0.13459717521790857</v>
      </c>
      <c r="Q16" s="12">
        <f t="shared" si="8"/>
        <v>0.13273315285475518</v>
      </c>
      <c r="R16" s="12">
        <f t="shared" si="9"/>
        <v>8.8683193347175351E-2</v>
      </c>
      <c r="T16" s="31">
        <f t="shared" si="10"/>
        <v>1985</v>
      </c>
      <c r="U16" s="14">
        <f>5*SUM($O16:O16)</f>
        <v>0.27496248265023715</v>
      </c>
      <c r="V16" s="14">
        <f>5*SUM($O16:P16)</f>
        <v>0.94794835873977989</v>
      </c>
      <c r="W16" s="14">
        <f>5*SUM($O16:Q16)</f>
        <v>1.6116141230135559</v>
      </c>
      <c r="X16" s="14">
        <f>5*SUM($O16:R16)</f>
        <v>2.0550300897494327</v>
      </c>
      <c r="Z16" s="31">
        <f t="shared" si="28"/>
        <v>1985</v>
      </c>
      <c r="AA16" s="14">
        <f t="shared" si="29"/>
        <v>0.29006061365597741</v>
      </c>
      <c r="AB16" s="14">
        <f t="shared" si="11"/>
        <v>0.58819809605987572</v>
      </c>
      <c r="AC16" s="14">
        <f t="shared" si="12"/>
        <v>0.78422896630679406</v>
      </c>
      <c r="AD16" s="15"/>
      <c r="AE16" s="31">
        <f t="shared" si="30"/>
        <v>1985</v>
      </c>
      <c r="AF16" s="14">
        <f t="shared" si="31"/>
        <v>-0.21322683500585793</v>
      </c>
      <c r="AG16" s="14">
        <f t="shared" si="13"/>
        <v>0.63357442515418438</v>
      </c>
      <c r="AH16" s="14">
        <f t="shared" si="14"/>
        <v>1.4144705996182596</v>
      </c>
      <c r="AJ16" s="31">
        <f t="shared" si="15"/>
        <v>1985</v>
      </c>
      <c r="AK16" s="14">
        <f t="shared" si="16"/>
        <v>-1.5671352341396116</v>
      </c>
      <c r="AL16" s="14">
        <f t="shared" si="17"/>
        <v>-0.77915228915068391</v>
      </c>
      <c r="AM16" s="14">
        <f t="shared" si="18"/>
        <v>0.13947699849119344</v>
      </c>
      <c r="AO16" s="13">
        <f t="shared" si="19"/>
        <v>5.2721865971638415E-2</v>
      </c>
      <c r="AP16" s="13">
        <f t="shared" si="32"/>
        <v>1.2066601626407216</v>
      </c>
      <c r="AQ16" s="13"/>
      <c r="AR16" s="13">
        <f t="shared" si="20"/>
        <v>5.2721865971638415E-2</v>
      </c>
      <c r="AS16" s="13">
        <f t="shared" si="21"/>
        <v>1.2066601626407216</v>
      </c>
      <c r="AU16" s="13">
        <f t="shared" si="22"/>
        <v>2.3780672596194012</v>
      </c>
      <c r="AV16" s="13">
        <f t="shared" si="23"/>
        <v>2.4226715661787015</v>
      </c>
      <c r="AW16" s="13">
        <f t="shared" si="24"/>
        <v>2.4098863943399169</v>
      </c>
      <c r="AX16" s="13">
        <f t="shared" si="33"/>
        <v>2.4035417400460068</v>
      </c>
      <c r="AZ16" s="31">
        <f t="shared" si="25"/>
        <v>1985</v>
      </c>
      <c r="BA16" s="13">
        <v>0</v>
      </c>
      <c r="BB16" s="13">
        <f t="shared" si="44"/>
        <v>1.2765452120965114E-11</v>
      </c>
      <c r="BC16" s="13">
        <f t="shared" si="44"/>
        <v>1.5886862927610971E-7</v>
      </c>
      <c r="BD16" s="16">
        <f t="shared" si="44"/>
        <v>3.5022519750731872E-5</v>
      </c>
      <c r="BE16" s="13">
        <f t="shared" si="44"/>
        <v>8.9461204033062592E-4</v>
      </c>
      <c r="BF16" s="13">
        <f t="shared" si="44"/>
        <v>6.7442466648322732E-3</v>
      </c>
      <c r="BG16" s="13">
        <f t="shared" si="44"/>
        <v>2.5258877930350348E-2</v>
      </c>
      <c r="BH16" s="13">
        <f t="shared" si="44"/>
        <v>5.1669748880943389E-2</v>
      </c>
      <c r="BI16" s="16">
        <f t="shared" si="44"/>
        <v>8.0939971845604794E-2</v>
      </c>
      <c r="BJ16" s="13">
        <f t="shared" si="44"/>
        <v>0.10490480075242692</v>
      </c>
      <c r="BK16" s="13">
        <f t="shared" si="44"/>
        <v>0.12475314670479665</v>
      </c>
      <c r="BL16" s="13">
        <f t="shared" si="45"/>
        <v>0.13574793216101441</v>
      </c>
      <c r="BM16" s="13">
        <f t="shared" si="45"/>
        <v>0.14150230700282382</v>
      </c>
      <c r="BN16" s="16">
        <f t="shared" si="45"/>
        <v>0.14340103448846184</v>
      </c>
      <c r="BO16" s="13">
        <f t="shared" si="45"/>
        <v>0.14225117040229193</v>
      </c>
      <c r="BP16" s="13">
        <f t="shared" si="45"/>
        <v>0.13987076312327917</v>
      </c>
      <c r="BQ16" s="13">
        <f t="shared" si="45"/>
        <v>0.13519158939754874</v>
      </c>
      <c r="BR16" s="13">
        <f t="shared" si="45"/>
        <v>0.12889689194942028</v>
      </c>
      <c r="BS16" s="16">
        <f t="shared" si="45"/>
        <v>0.1221370700181291</v>
      </c>
      <c r="BT16" s="13">
        <f t="shared" si="45"/>
        <v>0.11468919943186305</v>
      </c>
      <c r="BU16" s="13">
        <f t="shared" si="45"/>
        <v>0.1065070737892707</v>
      </c>
      <c r="BV16" s="13">
        <f t="shared" si="45"/>
        <v>9.8082209772682241E-2</v>
      </c>
      <c r="BW16" s="13">
        <f t="shared" si="45"/>
        <v>8.9980790725663895E-2</v>
      </c>
      <c r="BX16" s="16">
        <f t="shared" si="45"/>
        <v>8.2012971820527525E-2</v>
      </c>
      <c r="BY16" s="13">
        <f t="shared" si="45"/>
        <v>7.4148096900218299E-2</v>
      </c>
      <c r="BZ16" s="17"/>
      <c r="CA16" s="5"/>
      <c r="CB16" s="5"/>
      <c r="CC16" s="17"/>
      <c r="CD16" s="17"/>
      <c r="CE16" s="17"/>
      <c r="CF16" s="17"/>
      <c r="CG16" s="31">
        <v>16</v>
      </c>
      <c r="CH16" s="32">
        <v>-1.4928600000000001</v>
      </c>
      <c r="CI16" s="32">
        <f t="shared" si="42"/>
        <v>1.1680858806473245E-2</v>
      </c>
    </row>
    <row r="17" spans="2:91" ht="13.8" x14ac:dyDescent="0.25">
      <c r="B17" s="31">
        <f t="shared" ref="B17:B34" si="46">B18-1</f>
        <v>1972</v>
      </c>
      <c r="C17" s="60">
        <v>39839</v>
      </c>
      <c r="D17" s="60">
        <v>80430</v>
      </c>
      <c r="E17" s="60">
        <v>64624</v>
      </c>
      <c r="F17" s="60">
        <v>38937</v>
      </c>
      <c r="H17" s="31">
        <f t="shared" si="0"/>
        <v>1986</v>
      </c>
      <c r="I17" s="27">
        <f t="shared" si="1"/>
        <v>630215.48013278644</v>
      </c>
      <c r="J17" s="27">
        <f t="shared" si="2"/>
        <v>601156.22597274161</v>
      </c>
      <c r="K17" s="27">
        <f t="shared" si="3"/>
        <v>535078.43399405479</v>
      </c>
      <c r="L17" s="27">
        <f t="shared" si="4"/>
        <v>465913.3698294739</v>
      </c>
      <c r="N17" s="31">
        <f t="shared" si="5"/>
        <v>1986</v>
      </c>
      <c r="O17" s="12">
        <f t="shared" si="6"/>
        <v>5.7004312227352145E-2</v>
      </c>
      <c r="P17" s="12">
        <f t="shared" si="7"/>
        <v>0.13878921384369589</v>
      </c>
      <c r="Q17" s="12">
        <f t="shared" si="8"/>
        <v>0.13619685520872576</v>
      </c>
      <c r="R17" s="12">
        <f t="shared" si="9"/>
        <v>9.1444038224517132E-2</v>
      </c>
      <c r="T17" s="31">
        <f t="shared" si="10"/>
        <v>1986</v>
      </c>
      <c r="U17" s="14">
        <f>5*SUM($O17:O17)</f>
        <v>0.28502156113676075</v>
      </c>
      <c r="V17" s="14">
        <f>5*SUM($O17:P17)</f>
        <v>0.97896763035524015</v>
      </c>
      <c r="W17" s="14">
        <f>5*SUM($O17:Q17)</f>
        <v>1.6599519063988688</v>
      </c>
      <c r="X17" s="14">
        <f>5*SUM($O17:R17)</f>
        <v>2.1171720975214545</v>
      </c>
      <c r="Z17" s="31">
        <f t="shared" si="28"/>
        <v>1986</v>
      </c>
      <c r="AA17" s="14">
        <f t="shared" si="29"/>
        <v>0.2911450310500403</v>
      </c>
      <c r="AB17" s="14">
        <f t="shared" si="11"/>
        <v>0.5897566228162785</v>
      </c>
      <c r="AC17" s="14">
        <f t="shared" si="12"/>
        <v>0.78404202867690942</v>
      </c>
      <c r="AD17" s="15"/>
      <c r="AE17" s="31">
        <f t="shared" si="30"/>
        <v>1986</v>
      </c>
      <c r="AF17" s="14">
        <f t="shared" si="31"/>
        <v>-0.21020723480105577</v>
      </c>
      <c r="AG17" s="14">
        <f t="shared" si="13"/>
        <v>0.63857314500912477</v>
      </c>
      <c r="AH17" s="14">
        <f t="shared" si="14"/>
        <v>1.4134902307900101</v>
      </c>
      <c r="AJ17" s="31">
        <f t="shared" si="15"/>
        <v>1986</v>
      </c>
      <c r="AK17" s="14">
        <f t="shared" si="16"/>
        <v>-1.5641156339348095</v>
      </c>
      <c r="AL17" s="14">
        <f t="shared" si="17"/>
        <v>-0.77415356929574353</v>
      </c>
      <c r="AM17" s="14">
        <f t="shared" si="18"/>
        <v>0.13849662966294396</v>
      </c>
      <c r="AO17" s="13">
        <f t="shared" si="19"/>
        <v>5.3719742235227616E-2</v>
      </c>
      <c r="AP17" s="13">
        <f t="shared" si="32"/>
        <v>1.2038146330775756</v>
      </c>
      <c r="AQ17" s="13"/>
      <c r="AR17" s="13">
        <f t="shared" si="20"/>
        <v>5.3719742235227616E-2</v>
      </c>
      <c r="AS17" s="13">
        <f t="shared" si="21"/>
        <v>1.2038146330775756</v>
      </c>
      <c r="AU17" s="13">
        <f t="shared" si="22"/>
        <v>2.4537963116444721</v>
      </c>
      <c r="AV17" s="13">
        <f t="shared" si="23"/>
        <v>2.4963475022961679</v>
      </c>
      <c r="AW17" s="13">
        <f t="shared" si="24"/>
        <v>2.4840306850920748</v>
      </c>
      <c r="AX17" s="13">
        <f t="shared" si="33"/>
        <v>2.4780581663442383</v>
      </c>
      <c r="AZ17" s="31">
        <f t="shared" si="25"/>
        <v>1986</v>
      </c>
      <c r="BA17" s="13">
        <v>0</v>
      </c>
      <c r="BB17" s="13">
        <f t="shared" si="44"/>
        <v>1.6523428589240506E-11</v>
      </c>
      <c r="BC17" s="13">
        <f t="shared" si="44"/>
        <v>1.860520134434399E-7</v>
      </c>
      <c r="BD17" s="13">
        <f t="shared" si="44"/>
        <v>3.8930462242904145E-5</v>
      </c>
      <c r="BE17" s="16">
        <f t="shared" si="44"/>
        <v>9.655083349011087E-4</v>
      </c>
      <c r="BF17" s="13">
        <f t="shared" si="44"/>
        <v>7.1488428691051211E-3</v>
      </c>
      <c r="BG17" s="13">
        <f t="shared" si="44"/>
        <v>2.6469201081425434E-2</v>
      </c>
      <c r="BH17" s="13">
        <f t="shared" si="44"/>
        <v>5.3767497184002241E-2</v>
      </c>
      <c r="BI17" s="13">
        <f t="shared" si="44"/>
        <v>8.3861461916950611E-2</v>
      </c>
      <c r="BJ17" s="16">
        <f t="shared" si="44"/>
        <v>0.10838969973471707</v>
      </c>
      <c r="BK17" s="13">
        <f t="shared" si="44"/>
        <v>0.12866360203224037</v>
      </c>
      <c r="BL17" s="13">
        <f t="shared" si="45"/>
        <v>0.13983636762752844</v>
      </c>
      <c r="BM17" s="13">
        <f t="shared" si="45"/>
        <v>0.14565265648407555</v>
      </c>
      <c r="BN17" s="13">
        <f t="shared" si="45"/>
        <v>0.14753738493211824</v>
      </c>
      <c r="BO17" s="16">
        <f t="shared" si="45"/>
        <v>0.14631581159844684</v>
      </c>
      <c r="BP17" s="13">
        <f t="shared" si="45"/>
        <v>0.14385176970676278</v>
      </c>
      <c r="BQ17" s="13">
        <f t="shared" si="45"/>
        <v>0.13904094832294686</v>
      </c>
      <c r="BR17" s="13">
        <f t="shared" si="45"/>
        <v>0.1325810847684234</v>
      </c>
      <c r="BS17" s="13">
        <f t="shared" si="45"/>
        <v>0.12565110901405463</v>
      </c>
      <c r="BT17" s="16">
        <f t="shared" si="45"/>
        <v>0.1180183090365283</v>
      </c>
      <c r="BU17" s="13">
        <f t="shared" si="45"/>
        <v>0.1096320828602301</v>
      </c>
      <c r="BV17" s="13">
        <f t="shared" si="45"/>
        <v>0.1009957477633299</v>
      </c>
      <c r="BW17" s="13">
        <f t="shared" si="45"/>
        <v>9.269066514271232E-2</v>
      </c>
      <c r="BX17" s="13">
        <f t="shared" si="45"/>
        <v>8.4520375082800817E-2</v>
      </c>
      <c r="BY17" s="16">
        <f t="shared" si="45"/>
        <v>7.6452399038550833E-2</v>
      </c>
      <c r="BZ17" s="17"/>
      <c r="CA17" s="5"/>
      <c r="CB17" s="5"/>
      <c r="CC17" s="26"/>
      <c r="CD17" s="26"/>
      <c r="CE17" s="26"/>
      <c r="CF17" s="26"/>
      <c r="CG17" s="31">
        <v>16.5</v>
      </c>
      <c r="CH17" s="32">
        <v>-1.3717350000000001</v>
      </c>
      <c r="CI17" s="32">
        <f t="shared" si="42"/>
        <v>1.9405777353897931E-2</v>
      </c>
    </row>
    <row r="18" spans="2:91" ht="13.8" x14ac:dyDescent="0.25">
      <c r="B18" s="31">
        <f t="shared" si="46"/>
        <v>1973</v>
      </c>
      <c r="C18" s="60">
        <v>40241</v>
      </c>
      <c r="D18" s="60">
        <v>82108</v>
      </c>
      <c r="E18" s="60">
        <v>63949</v>
      </c>
      <c r="F18" s="60">
        <v>38499</v>
      </c>
      <c r="H18" s="31">
        <f t="shared" si="0"/>
        <v>1987</v>
      </c>
      <c r="I18" s="27">
        <f t="shared" si="1"/>
        <v>625005.87083337083</v>
      </c>
      <c r="J18" s="27">
        <f t="shared" si="2"/>
        <v>602488.54543430218</v>
      </c>
      <c r="K18" s="27">
        <f t="shared" si="3"/>
        <v>549330.54407526238</v>
      </c>
      <c r="L18" s="27">
        <f t="shared" si="4"/>
        <v>483351.61141448776</v>
      </c>
      <c r="N18" s="31">
        <f t="shared" si="5"/>
        <v>1987</v>
      </c>
      <c r="O18" s="12">
        <f t="shared" si="6"/>
        <v>5.7012264464792371E-2</v>
      </c>
      <c r="P18" s="12">
        <f t="shared" si="7"/>
        <v>0.14054043125245308</v>
      </c>
      <c r="Q18" s="12">
        <f t="shared" si="8"/>
        <v>0.13728710484678136</v>
      </c>
      <c r="R18" s="12">
        <f t="shared" si="9"/>
        <v>9.3176476371316971E-2</v>
      </c>
      <c r="T18" s="31">
        <f t="shared" si="10"/>
        <v>1987</v>
      </c>
      <c r="U18" s="14">
        <f>5*SUM($O18:O18)</f>
        <v>0.28506132232396186</v>
      </c>
      <c r="V18" s="14">
        <f>5*SUM($O18:P18)</f>
        <v>0.98776347858622726</v>
      </c>
      <c r="W18" s="14">
        <f>5*SUM($O18:Q18)</f>
        <v>1.6741990028201341</v>
      </c>
      <c r="X18" s="14">
        <f>5*SUM($O18:R18)</f>
        <v>2.1400813846767193</v>
      </c>
      <c r="Z18" s="31">
        <f t="shared" si="28"/>
        <v>1987</v>
      </c>
      <c r="AA18" s="14">
        <f t="shared" si="29"/>
        <v>0.28859269299161205</v>
      </c>
      <c r="AB18" s="14">
        <f t="shared" si="11"/>
        <v>0.58999167776493211</v>
      </c>
      <c r="AC18" s="14">
        <f t="shared" si="12"/>
        <v>0.78230623134598154</v>
      </c>
      <c r="AD18" s="15"/>
      <c r="AE18" s="31">
        <f t="shared" si="30"/>
        <v>1987</v>
      </c>
      <c r="AF18" s="14">
        <f t="shared" si="31"/>
        <v>-0.21731777580810704</v>
      </c>
      <c r="AG18" s="14">
        <f t="shared" si="13"/>
        <v>0.6393280681745146</v>
      </c>
      <c r="AH18" s="14">
        <f t="shared" si="14"/>
        <v>1.4044216118291173</v>
      </c>
      <c r="AJ18" s="31">
        <f t="shared" si="15"/>
        <v>1987</v>
      </c>
      <c r="AK18" s="14">
        <f t="shared" si="16"/>
        <v>-1.5712261749418608</v>
      </c>
      <c r="AL18" s="14">
        <f t="shared" si="17"/>
        <v>-0.7733986461303537</v>
      </c>
      <c r="AM18" s="14">
        <f t="shared" si="18"/>
        <v>0.12942801070205112</v>
      </c>
      <c r="AO18" s="13">
        <f t="shared" si="19"/>
        <v>4.7900670938062336E-2</v>
      </c>
      <c r="AP18" s="13">
        <f t="shared" si="32"/>
        <v>1.2023904027958363</v>
      </c>
      <c r="AQ18" s="13"/>
      <c r="AR18" s="13">
        <f t="shared" si="20"/>
        <v>4.7900670938062336E-2</v>
      </c>
      <c r="AS18" s="13">
        <f t="shared" si="21"/>
        <v>1.2023904027958363</v>
      </c>
      <c r="AU18" s="13">
        <f t="shared" si="22"/>
        <v>2.4892400946895146</v>
      </c>
      <c r="AV18" s="13">
        <f t="shared" si="23"/>
        <v>2.524809444489053</v>
      </c>
      <c r="AW18" s="13">
        <f t="shared" si="24"/>
        <v>2.5141042259308395</v>
      </c>
      <c r="AX18" s="13">
        <f t="shared" si="33"/>
        <v>2.509384588369802</v>
      </c>
      <c r="AZ18" s="31">
        <f t="shared" si="25"/>
        <v>1987</v>
      </c>
      <c r="BA18" s="16">
        <v>0</v>
      </c>
      <c r="BB18" s="13">
        <f t="shared" si="44"/>
        <v>1.5927777574550089E-11</v>
      </c>
      <c r="BC18" s="13">
        <f t="shared" si="44"/>
        <v>1.8098588773062247E-7</v>
      </c>
      <c r="BD18" s="13">
        <f t="shared" si="44"/>
        <v>3.8172983357634131E-5</v>
      </c>
      <c r="BE18" s="13">
        <f t="shared" si="44"/>
        <v>9.5285818425245705E-4</v>
      </c>
      <c r="BF18" s="16">
        <f t="shared" si="44"/>
        <v>7.0925314568702456E-3</v>
      </c>
      <c r="BG18" s="13">
        <f t="shared" si="44"/>
        <v>2.6375981164635187E-2</v>
      </c>
      <c r="BH18" s="13">
        <f t="shared" si="44"/>
        <v>5.3762090283796145E-2</v>
      </c>
      <c r="BI18" s="13">
        <f t="shared" si="44"/>
        <v>8.4078365559450044E-2</v>
      </c>
      <c r="BJ18" s="13">
        <f t="shared" si="44"/>
        <v>0.10890482045737872</v>
      </c>
      <c r="BK18" s="16">
        <f t="shared" si="44"/>
        <v>0.12950544070357417</v>
      </c>
      <c r="BL18" s="13">
        <f t="shared" si="45"/>
        <v>0.14096243968003763</v>
      </c>
      <c r="BM18" s="13">
        <f t="shared" si="45"/>
        <v>0.14701299190751316</v>
      </c>
      <c r="BN18" s="13">
        <f t="shared" si="45"/>
        <v>0.14908041056755336</v>
      </c>
      <c r="BO18" s="13">
        <f t="shared" si="45"/>
        <v>0.14799079685799202</v>
      </c>
      <c r="BP18" s="16">
        <f t="shared" si="45"/>
        <v>0.14562645854095604</v>
      </c>
      <c r="BQ18" s="13">
        <f t="shared" si="45"/>
        <v>0.14086884578744216</v>
      </c>
      <c r="BR18" s="13">
        <f t="shared" si="45"/>
        <v>0.13442238221588892</v>
      </c>
      <c r="BS18" s="13">
        <f t="shared" si="45"/>
        <v>0.12748229134128772</v>
      </c>
      <c r="BT18" s="13">
        <f t="shared" si="45"/>
        <v>0.11981373510649555</v>
      </c>
      <c r="BU18" s="16">
        <f t="shared" si="45"/>
        <v>0.11136573386923058</v>
      </c>
      <c r="BV18" s="13">
        <f t="shared" si="45"/>
        <v>0.10265003670300328</v>
      </c>
      <c r="BW18" s="13">
        <f t="shared" si="45"/>
        <v>9.4258912495665717E-2</v>
      </c>
      <c r="BX18" s="13">
        <f t="shared" si="45"/>
        <v>8.5994259117213354E-2</v>
      </c>
      <c r="BY18" s="13">
        <f t="shared" si="45"/>
        <v>7.7824150775901033E-2</v>
      </c>
      <c r="BZ18" s="17"/>
      <c r="CG18" s="31">
        <v>17</v>
      </c>
      <c r="CH18" s="32">
        <v>-1.25061</v>
      </c>
      <c r="CI18" s="32">
        <f t="shared" si="42"/>
        <v>3.0425545340527094E-2</v>
      </c>
      <c r="CK18" s="70" t="s">
        <v>31</v>
      </c>
      <c r="CL18" s="63"/>
      <c r="CM18" s="63"/>
    </row>
    <row r="19" spans="2:91" ht="13.8" x14ac:dyDescent="0.25">
      <c r="B19" s="31">
        <f t="shared" si="46"/>
        <v>1974</v>
      </c>
      <c r="C19" s="60">
        <v>39884</v>
      </c>
      <c r="D19" s="60">
        <v>79316</v>
      </c>
      <c r="E19" s="60">
        <v>63477</v>
      </c>
      <c r="F19" s="60">
        <v>37880</v>
      </c>
      <c r="H19" s="31">
        <f t="shared" si="0"/>
        <v>1988</v>
      </c>
      <c r="I19" s="27">
        <f t="shared" si="1"/>
        <v>619839.32621565252</v>
      </c>
      <c r="J19" s="27">
        <f t="shared" si="2"/>
        <v>603823.81766432943</v>
      </c>
      <c r="K19" s="27">
        <f t="shared" si="3"/>
        <v>563962.26699238771</v>
      </c>
      <c r="L19" s="27">
        <f t="shared" si="4"/>
        <v>501442.53285217157</v>
      </c>
      <c r="N19" s="31">
        <f t="shared" si="5"/>
        <v>1988</v>
      </c>
      <c r="O19" s="12">
        <f t="shared" si="6"/>
        <v>6.0264004589802224E-2</v>
      </c>
      <c r="P19" s="12">
        <f t="shared" si="7"/>
        <v>0.14488332099651138</v>
      </c>
      <c r="Q19" s="12">
        <f t="shared" si="8"/>
        <v>0.14278792166265078</v>
      </c>
      <c r="R19" s="12">
        <f t="shared" si="9"/>
        <v>9.6302161935346228E-2</v>
      </c>
      <c r="T19" s="31">
        <f t="shared" si="10"/>
        <v>1988</v>
      </c>
      <c r="U19" s="14">
        <f>5*SUM($O19:O19)</f>
        <v>0.30132002294901111</v>
      </c>
      <c r="V19" s="14">
        <f>5*SUM($O19:P19)</f>
        <v>1.0257366279315681</v>
      </c>
      <c r="W19" s="14">
        <f>5*SUM($O19:Q19)</f>
        <v>1.7396762362448221</v>
      </c>
      <c r="X19" s="14">
        <f>5*SUM($O19:R19)</f>
        <v>2.2211870459215532</v>
      </c>
      <c r="Z19" s="31">
        <f t="shared" si="28"/>
        <v>1988</v>
      </c>
      <c r="AA19" s="14">
        <f t="shared" si="29"/>
        <v>0.29375964038315855</v>
      </c>
      <c r="AB19" s="14">
        <f t="shared" si="11"/>
        <v>0.5896135192061206</v>
      </c>
      <c r="AC19" s="14">
        <f t="shared" si="12"/>
        <v>0.78321915276749865</v>
      </c>
      <c r="AD19" s="15"/>
      <c r="AE19" s="31">
        <f t="shared" si="30"/>
        <v>1988</v>
      </c>
      <c r="AF19" s="14">
        <f t="shared" si="31"/>
        <v>-0.20293545274675484</v>
      </c>
      <c r="AG19" s="14">
        <f t="shared" si="13"/>
        <v>0.63811367255987239</v>
      </c>
      <c r="AH19" s="14">
        <f t="shared" si="14"/>
        <v>1.4091833935395959</v>
      </c>
      <c r="AJ19" s="31">
        <f t="shared" si="15"/>
        <v>1988</v>
      </c>
      <c r="AK19" s="14">
        <f t="shared" si="16"/>
        <v>-1.5568438518805086</v>
      </c>
      <c r="AL19" s="14">
        <f t="shared" si="17"/>
        <v>-0.7746130417449959</v>
      </c>
      <c r="AM19" s="14">
        <f t="shared" si="18"/>
        <v>0.13418979241252971</v>
      </c>
      <c r="AO19" s="13">
        <f t="shared" si="19"/>
        <v>5.0638349462178531E-2</v>
      </c>
      <c r="AP19" s="13">
        <f t="shared" si="32"/>
        <v>1.1956387873605721</v>
      </c>
      <c r="AQ19" s="13"/>
      <c r="AR19" s="13">
        <f t="shared" si="20"/>
        <v>5.0638349462178531E-2</v>
      </c>
      <c r="AS19" s="13">
        <f t="shared" si="21"/>
        <v>1.1956387873605721</v>
      </c>
      <c r="AU19" s="13">
        <f t="shared" si="22"/>
        <v>2.5788231087885931</v>
      </c>
      <c r="AV19" s="13">
        <f t="shared" si="23"/>
        <v>2.6256999381103991</v>
      </c>
      <c r="AW19" s="13">
        <f t="shared" si="24"/>
        <v>2.6124431344423216</v>
      </c>
      <c r="AX19" s="13">
        <f t="shared" si="33"/>
        <v>2.6056553937804381</v>
      </c>
      <c r="AZ19" s="31">
        <f t="shared" si="25"/>
        <v>1988</v>
      </c>
      <c r="BA19" s="13">
        <v>0</v>
      </c>
      <c r="BB19" s="16">
        <f t="shared" si="44"/>
        <v>2.8443756423764987E-11</v>
      </c>
      <c r="BC19" s="13">
        <f t="shared" si="44"/>
        <v>2.5497689228940069E-7</v>
      </c>
      <c r="BD19" s="13">
        <f t="shared" si="44"/>
        <v>4.7502928368170303E-5</v>
      </c>
      <c r="BE19" s="13">
        <f t="shared" si="44"/>
        <v>1.1049916691446451E-3</v>
      </c>
      <c r="BF19" s="13">
        <f t="shared" si="44"/>
        <v>7.877455134560658E-3</v>
      </c>
      <c r="BG19" s="16">
        <f t="shared" si="44"/>
        <v>2.8498886219346872E-2</v>
      </c>
      <c r="BH19" s="13">
        <f t="shared" si="44"/>
        <v>5.7114957547985554E-2</v>
      </c>
      <c r="BI19" s="13">
        <f t="shared" si="44"/>
        <v>8.8387779093845681E-2</v>
      </c>
      <c r="BJ19" s="13">
        <f t="shared" si="44"/>
        <v>0.11371469690954338</v>
      </c>
      <c r="BK19" s="13">
        <f t="shared" si="44"/>
        <v>0.13462511794284596</v>
      </c>
      <c r="BL19" s="16">
        <f t="shared" si="45"/>
        <v>0.14610478867144749</v>
      </c>
      <c r="BM19" s="13">
        <f t="shared" si="45"/>
        <v>0.15208557380309742</v>
      </c>
      <c r="BN19" s="13">
        <f t="shared" si="45"/>
        <v>0.15403944797421945</v>
      </c>
      <c r="BO19" s="13">
        <f t="shared" si="45"/>
        <v>0.15280781769329363</v>
      </c>
      <c r="BP19" s="13">
        <f t="shared" si="45"/>
        <v>0.15031914032803959</v>
      </c>
      <c r="BQ19" s="16">
        <f t="shared" si="45"/>
        <v>0.14540476929836252</v>
      </c>
      <c r="BR19" s="13">
        <f t="shared" si="45"/>
        <v>0.13877966919258813</v>
      </c>
      <c r="BS19" s="13">
        <f t="shared" si="45"/>
        <v>0.131666999664041</v>
      </c>
      <c r="BT19" s="13">
        <f t="shared" si="45"/>
        <v>0.12381573124495515</v>
      </c>
      <c r="BU19" s="13">
        <f t="shared" si="45"/>
        <v>0.11516552116877575</v>
      </c>
      <c r="BV19" s="16">
        <f t="shared" si="45"/>
        <v>0.10623896881128211</v>
      </c>
      <c r="BW19" s="13">
        <f t="shared" si="45"/>
        <v>9.7644824622997173E-2</v>
      </c>
      <c r="BX19" s="13">
        <f t="shared" si="45"/>
        <v>8.9175482629286346E-2</v>
      </c>
      <c r="BY19" s="13">
        <f t="shared" si="45"/>
        <v>8.0795502890757487E-2</v>
      </c>
      <c r="BZ19" s="17"/>
      <c r="CG19" s="31">
        <v>17.5</v>
      </c>
      <c r="CH19" s="32">
        <v>-1.1476999999999999</v>
      </c>
      <c r="CI19" s="32">
        <f t="shared" si="42"/>
        <v>4.2811975547628743E-2</v>
      </c>
      <c r="CK19" s="63"/>
      <c r="CL19" s="71" t="s">
        <v>24</v>
      </c>
      <c r="CM19" s="63">
        <f>MATCH(Introduction!E11,Method!CL19:CL20,0)</f>
        <v>1</v>
      </c>
    </row>
    <row r="20" spans="2:91" ht="13.8" x14ac:dyDescent="0.25">
      <c r="B20" s="31">
        <f t="shared" si="46"/>
        <v>1975</v>
      </c>
      <c r="C20" s="60">
        <v>39086</v>
      </c>
      <c r="D20" s="60">
        <v>75519</v>
      </c>
      <c r="E20" s="60">
        <v>59365</v>
      </c>
      <c r="F20" s="60">
        <v>35863</v>
      </c>
      <c r="H20" s="31">
        <f t="shared" si="0"/>
        <v>1989</v>
      </c>
      <c r="I20" s="27">
        <f t="shared" si="1"/>
        <v>614715.49029001617</v>
      </c>
      <c r="J20" s="27">
        <f t="shared" si="2"/>
        <v>605162.04920693079</v>
      </c>
      <c r="K20" s="27">
        <f t="shared" si="3"/>
        <v>578983.71394330752</v>
      </c>
      <c r="L20" s="27">
        <f t="shared" si="4"/>
        <v>520210.56269445294</v>
      </c>
      <c r="N20" s="31">
        <f t="shared" si="5"/>
        <v>1989</v>
      </c>
      <c r="O20" s="12">
        <f t="shared" si="6"/>
        <v>6.3598527477411376E-2</v>
      </c>
      <c r="P20" s="12">
        <f t="shared" si="7"/>
        <v>0.14374662144462136</v>
      </c>
      <c r="Q20" s="12">
        <f t="shared" si="8"/>
        <v>0.14321473644787044</v>
      </c>
      <c r="R20" s="12">
        <f t="shared" si="9"/>
        <v>9.7796937717855539E-2</v>
      </c>
      <c r="T20" s="31">
        <f t="shared" si="10"/>
        <v>1989</v>
      </c>
      <c r="U20" s="14">
        <f>5*SUM($O20:O20)</f>
        <v>0.31799263738705685</v>
      </c>
      <c r="V20" s="14">
        <f>5*SUM($O20:P20)</f>
        <v>1.0367257446101636</v>
      </c>
      <c r="W20" s="14">
        <f>5*SUM($O20:Q20)</f>
        <v>1.752799426849516</v>
      </c>
      <c r="X20" s="14">
        <f>5*SUM($O20:R20)</f>
        <v>2.2417841154387936</v>
      </c>
      <c r="Z20" s="31">
        <f t="shared" si="28"/>
        <v>1989</v>
      </c>
      <c r="AA20" s="14">
        <f t="shared" si="29"/>
        <v>0.30672782945756838</v>
      </c>
      <c r="AB20" s="14">
        <f t="shared" si="11"/>
        <v>0.59146855523200159</v>
      </c>
      <c r="AC20" s="14">
        <f t="shared" si="12"/>
        <v>0.78187699465719218</v>
      </c>
      <c r="AD20" s="15"/>
      <c r="AE20" s="31">
        <f t="shared" si="30"/>
        <v>1989</v>
      </c>
      <c r="AF20" s="14">
        <f t="shared" si="31"/>
        <v>-0.16703402367046891</v>
      </c>
      <c r="AG20" s="14">
        <f t="shared" si="13"/>
        <v>0.64407751633334176</v>
      </c>
      <c r="AH20" s="14">
        <f t="shared" si="14"/>
        <v>1.4021886217339905</v>
      </c>
      <c r="AJ20" s="31">
        <f t="shared" si="15"/>
        <v>1989</v>
      </c>
      <c r="AK20" s="14">
        <f t="shared" si="16"/>
        <v>-1.5209424228042225</v>
      </c>
      <c r="AL20" s="14">
        <f t="shared" si="17"/>
        <v>-0.76864919797152653</v>
      </c>
      <c r="AM20" s="14">
        <f t="shared" si="18"/>
        <v>0.12719502060692434</v>
      </c>
      <c r="AO20" s="13">
        <f t="shared" si="19"/>
        <v>4.7197182645867482E-2</v>
      </c>
      <c r="AP20" s="13">
        <f t="shared" si="32"/>
        <v>1.165354976410973</v>
      </c>
      <c r="AQ20" s="13"/>
      <c r="AR20" s="13">
        <f t="shared" si="20"/>
        <v>4.7197182645867482E-2</v>
      </c>
      <c r="AS20" s="13">
        <f t="shared" si="21"/>
        <v>1.165354976410973</v>
      </c>
      <c r="AU20" s="13">
        <f t="shared" si="22"/>
        <v>2.6166270274689514</v>
      </c>
      <c r="AV20" s="13">
        <f t="shared" si="23"/>
        <v>2.6728133437914998</v>
      </c>
      <c r="AW20" s="13">
        <f t="shared" si="24"/>
        <v>2.6578875103498776</v>
      </c>
      <c r="AX20" s="13">
        <f t="shared" si="33"/>
        <v>2.6491092938701093</v>
      </c>
      <c r="AZ20" s="31">
        <f t="shared" si="25"/>
        <v>1989</v>
      </c>
      <c r="BA20" s="13">
        <v>0</v>
      </c>
      <c r="BB20" s="13">
        <f t="shared" si="44"/>
        <v>1.9955066918471516E-10</v>
      </c>
      <c r="BC20" s="16">
        <f t="shared" si="44"/>
        <v>7.5212544803918073E-7</v>
      </c>
      <c r="BD20" s="13">
        <f t="shared" si="44"/>
        <v>8.9356642053303579E-5</v>
      </c>
      <c r="BE20" s="13">
        <f t="shared" si="44"/>
        <v>1.6131776358960541E-3</v>
      </c>
      <c r="BF20" s="13">
        <f t="shared" si="44"/>
        <v>9.8717736948154677E-3</v>
      </c>
      <c r="BG20" s="13">
        <f t="shared" si="44"/>
        <v>3.2468261489197493E-2</v>
      </c>
      <c r="BH20" s="16">
        <f t="shared" si="44"/>
        <v>6.1470840334416674E-2</v>
      </c>
      <c r="BI20" s="13">
        <f t="shared" si="44"/>
        <v>9.1938113548783076E-2</v>
      </c>
      <c r="BJ20" s="13">
        <f t="shared" si="44"/>
        <v>0.115826638468113</v>
      </c>
      <c r="BK20" s="13">
        <f t="shared" si="44"/>
        <v>0.13536028473387027</v>
      </c>
      <c r="BL20" s="13">
        <f t="shared" si="45"/>
        <v>0.14575919140113369</v>
      </c>
      <c r="BM20" s="16">
        <f t="shared" si="45"/>
        <v>0.15106677663800802</v>
      </c>
      <c r="BN20" s="13">
        <f t="shared" si="45"/>
        <v>0.15270124450234243</v>
      </c>
      <c r="BO20" s="13">
        <f t="shared" si="45"/>
        <v>0.15142903203700786</v>
      </c>
      <c r="BP20" s="13">
        <f t="shared" si="45"/>
        <v>0.14909598531786455</v>
      </c>
      <c r="BQ20" s="13">
        <f t="shared" si="45"/>
        <v>0.14448793800785031</v>
      </c>
      <c r="BR20" s="16">
        <f t="shared" si="45"/>
        <v>0.13826302915290206</v>
      </c>
      <c r="BS20" s="13">
        <f t="shared" si="45"/>
        <v>0.13159840803716244</v>
      </c>
      <c r="BT20" s="13">
        <f t="shared" si="45"/>
        <v>0.12421378687248413</v>
      </c>
      <c r="BU20" s="13">
        <f t="shared" si="45"/>
        <v>0.11601987619594402</v>
      </c>
      <c r="BV20" s="13">
        <f t="shared" si="45"/>
        <v>0.10751833445634965</v>
      </c>
      <c r="BW20" s="16">
        <f t="shared" si="45"/>
        <v>9.9311894643546006E-2</v>
      </c>
      <c r="BX20" s="13">
        <f t="shared" si="45"/>
        <v>9.1183966801211824E-2</v>
      </c>
      <c r="BY20" s="13">
        <f t="shared" si="45"/>
        <v>8.3091502490060837E-2</v>
      </c>
      <c r="BZ20" s="17"/>
      <c r="CG20" s="31">
        <v>18</v>
      </c>
      <c r="CH20" s="32">
        <v>-1.0447900000000001</v>
      </c>
      <c r="CI20" s="32">
        <f t="shared" si="42"/>
        <v>5.8262217114629582E-2</v>
      </c>
      <c r="CK20" s="63"/>
      <c r="CL20" s="72" t="s">
        <v>25</v>
      </c>
      <c r="CM20" s="63"/>
    </row>
    <row r="21" spans="2:91" ht="13.8" x14ac:dyDescent="0.25">
      <c r="B21" s="31">
        <f t="shared" si="46"/>
        <v>1976</v>
      </c>
      <c r="C21" s="60">
        <v>37658</v>
      </c>
      <c r="D21" s="60">
        <v>73889</v>
      </c>
      <c r="E21" s="60">
        <v>57171</v>
      </c>
      <c r="F21" s="60">
        <v>34129</v>
      </c>
      <c r="H21" s="31">
        <f t="shared" si="0"/>
        <v>1990</v>
      </c>
      <c r="I21" s="27">
        <f t="shared" si="1"/>
        <v>609634.01000959706</v>
      </c>
      <c r="J21" s="27">
        <f t="shared" si="2"/>
        <v>606503.24662071723</v>
      </c>
      <c r="K21" s="27">
        <f t="shared" si="3"/>
        <v>594405.26544324739</v>
      </c>
      <c r="L21" s="27">
        <f t="shared" si="4"/>
        <v>539681.043806987</v>
      </c>
      <c r="N21" s="31">
        <f t="shared" si="5"/>
        <v>1990</v>
      </c>
      <c r="O21" s="12">
        <f t="shared" si="6"/>
        <v>6.4863507203900092E-2</v>
      </c>
      <c r="P21" s="12">
        <f t="shared" si="7"/>
        <v>0.14062909056996062</v>
      </c>
      <c r="Q21" s="12">
        <f t="shared" si="8"/>
        <v>0.14188299616947495</v>
      </c>
      <c r="R21" s="12">
        <f t="shared" si="9"/>
        <v>9.80986836716361E-2</v>
      </c>
      <c r="T21" s="31">
        <f t="shared" si="10"/>
        <v>1990</v>
      </c>
      <c r="U21" s="14">
        <f>5*SUM($O21:O21)</f>
        <v>0.32431753601950047</v>
      </c>
      <c r="V21" s="14">
        <f>5*SUM($O21:P21)</f>
        <v>1.0274629888693034</v>
      </c>
      <c r="W21" s="14">
        <f>5*SUM($O21:Q21)</f>
        <v>1.7368779697166781</v>
      </c>
      <c r="X21" s="14">
        <f>5*SUM($O21:R21)</f>
        <v>2.2273713880748587</v>
      </c>
      <c r="Z21" s="31">
        <f t="shared" si="28"/>
        <v>1990</v>
      </c>
      <c r="AA21" s="14">
        <f t="shared" si="29"/>
        <v>0.31564887449269929</v>
      </c>
      <c r="AB21" s="14">
        <f t="shared" si="11"/>
        <v>0.59155738444705164</v>
      </c>
      <c r="AC21" s="14">
        <f t="shared" si="12"/>
        <v>0.77978821987916469</v>
      </c>
      <c r="AD21" s="15"/>
      <c r="AE21" s="31">
        <f t="shared" si="30"/>
        <v>1990</v>
      </c>
      <c r="AF21" s="14">
        <f t="shared" si="31"/>
        <v>-0.14247550936861347</v>
      </c>
      <c r="AG21" s="14">
        <f t="shared" si="13"/>
        <v>0.64436352090058135</v>
      </c>
      <c r="AH21" s="14">
        <f t="shared" si="14"/>
        <v>1.3913756122777337</v>
      </c>
      <c r="AJ21" s="31">
        <f t="shared" si="15"/>
        <v>1990</v>
      </c>
      <c r="AK21" s="14">
        <f t="shared" si="16"/>
        <v>-1.4963839085023671</v>
      </c>
      <c r="AL21" s="14">
        <f t="shared" si="17"/>
        <v>-0.76836319340428694</v>
      </c>
      <c r="AM21" s="14">
        <f t="shared" si="18"/>
        <v>0.11638201115066749</v>
      </c>
      <c r="AO21" s="13">
        <f t="shared" si="19"/>
        <v>3.8790756868987988E-2</v>
      </c>
      <c r="AP21" s="13">
        <f t="shared" si="32"/>
        <v>1.1403815529354671</v>
      </c>
      <c r="AQ21" s="13"/>
      <c r="AR21" s="13">
        <f t="shared" si="20"/>
        <v>3.8790756868987988E-2</v>
      </c>
      <c r="AS21" s="13">
        <f t="shared" si="21"/>
        <v>1.1403815529354671</v>
      </c>
      <c r="AU21" s="13">
        <f t="shared" si="22"/>
        <v>2.6151591646079582</v>
      </c>
      <c r="AV21" s="13">
        <f t="shared" si="23"/>
        <v>2.6780041175763776</v>
      </c>
      <c r="AW21" s="13">
        <f t="shared" si="24"/>
        <v>2.6617349046400891</v>
      </c>
      <c r="AX21" s="13">
        <f t="shared" si="33"/>
        <v>2.6516327289414749</v>
      </c>
      <c r="AZ21" s="31">
        <f t="shared" si="25"/>
        <v>1990</v>
      </c>
      <c r="BA21" s="13">
        <v>0</v>
      </c>
      <c r="BB21" s="13">
        <f t="shared" si="44"/>
        <v>7.7766339864378882E-10</v>
      </c>
      <c r="BC21" s="13">
        <f t="shared" si="44"/>
        <v>1.5868084701607844E-6</v>
      </c>
      <c r="BD21" s="16">
        <f t="shared" si="44"/>
        <v>1.3688370517437486E-4</v>
      </c>
      <c r="BE21" s="13">
        <f t="shared" si="44"/>
        <v>2.0622208173257041E-3</v>
      </c>
      <c r="BF21" s="13">
        <f t="shared" si="44"/>
        <v>1.1323028171190181E-2</v>
      </c>
      <c r="BG21" s="13">
        <f t="shared" si="44"/>
        <v>3.4831716586572713E-2</v>
      </c>
      <c r="BH21" s="13">
        <f t="shared" si="44"/>
        <v>6.3398459111619704E-2</v>
      </c>
      <c r="BI21" s="16">
        <f t="shared" si="44"/>
        <v>9.2654380294199895E-2</v>
      </c>
      <c r="BJ21" s="13">
        <f t="shared" si="44"/>
        <v>0.11512859481059905</v>
      </c>
      <c r="BK21" s="13">
        <f t="shared" si="44"/>
        <v>0.13345304640880612</v>
      </c>
      <c r="BL21" s="13">
        <f t="shared" si="45"/>
        <v>0.14305470187704825</v>
      </c>
      <c r="BM21" s="13">
        <f t="shared" si="45"/>
        <v>0.14794844967941473</v>
      </c>
      <c r="BN21" s="16">
        <f t="shared" si="45"/>
        <v>0.14947436168105416</v>
      </c>
      <c r="BO21" s="13">
        <f t="shared" si="45"/>
        <v>0.14832556066238167</v>
      </c>
      <c r="BP21" s="13">
        <f t="shared" si="45"/>
        <v>0.14626019579438873</v>
      </c>
      <c r="BQ21" s="13">
        <f t="shared" si="45"/>
        <v>0.14204702877514966</v>
      </c>
      <c r="BR21" s="13">
        <f t="shared" si="45"/>
        <v>0.13629279913912909</v>
      </c>
      <c r="BS21" s="16">
        <f t="shared" si="45"/>
        <v>0.13012753675419203</v>
      </c>
      <c r="BT21" s="13">
        <f t="shared" si="45"/>
        <v>0.12325367868199645</v>
      </c>
      <c r="BU21" s="13">
        <f t="shared" si="45"/>
        <v>0.11556140022075766</v>
      </c>
      <c r="BV21" s="13">
        <f t="shared" si="45"/>
        <v>0.10753178671022741</v>
      </c>
      <c r="BW21" s="13">
        <f t="shared" si="45"/>
        <v>9.9758457566541905E-2</v>
      </c>
      <c r="BX21" s="16">
        <f t="shared" si="45"/>
        <v>9.2020904748148197E-2</v>
      </c>
      <c r="BY21" s="13">
        <f t="shared" si="45"/>
        <v>8.4270987660198693E-2</v>
      </c>
      <c r="BZ21" s="17"/>
      <c r="CG21" s="31">
        <v>18.5</v>
      </c>
      <c r="CH21" s="32">
        <v>-0.95203000000000004</v>
      </c>
      <c r="CI21" s="32">
        <f t="shared" si="42"/>
        <v>7.4947757018170039E-2</v>
      </c>
    </row>
    <row r="22" spans="2:91" ht="13.8" x14ac:dyDescent="0.25">
      <c r="B22" s="31">
        <f t="shared" si="46"/>
        <v>1977</v>
      </c>
      <c r="C22" s="60">
        <v>36104</v>
      </c>
      <c r="D22" s="60">
        <v>71445</v>
      </c>
      <c r="E22" s="60">
        <v>53467</v>
      </c>
      <c r="F22" s="60">
        <v>32190</v>
      </c>
      <c r="H22" s="31">
        <f t="shared" si="0"/>
        <v>1991</v>
      </c>
      <c r="I22" s="27">
        <f t="shared" si="1"/>
        <v>604594.53524595464</v>
      </c>
      <c r="J22" s="27">
        <f t="shared" si="2"/>
        <v>607847.41647883505</v>
      </c>
      <c r="K22" s="27">
        <f t="shared" si="3"/>
        <v>610237.57849819807</v>
      </c>
      <c r="L22" s="27">
        <f t="shared" si="4"/>
        <v>559880.26759016188</v>
      </c>
      <c r="N22" s="31">
        <f t="shared" si="5"/>
        <v>1991</v>
      </c>
      <c r="O22" s="12">
        <f t="shared" si="6"/>
        <v>6.3387936486077309E-2</v>
      </c>
      <c r="P22" s="12">
        <f t="shared" si="7"/>
        <v>0.13063475774888791</v>
      </c>
      <c r="Q22" s="12">
        <f t="shared" si="8"/>
        <v>0.13422149485053689</v>
      </c>
      <c r="R22" s="12">
        <f t="shared" si="9"/>
        <v>9.5422187729444413E-2</v>
      </c>
      <c r="T22" s="31">
        <f t="shared" si="10"/>
        <v>1991</v>
      </c>
      <c r="U22" s="14">
        <f>5*SUM($O22:O22)</f>
        <v>0.31693968243038656</v>
      </c>
      <c r="V22" s="14">
        <f>5*SUM($O22:P22)</f>
        <v>0.97011347117482605</v>
      </c>
      <c r="W22" s="14">
        <f>5*SUM($O22:Q22)</f>
        <v>1.6412209454275106</v>
      </c>
      <c r="X22" s="14">
        <f>5*SUM($O22:R22)</f>
        <v>2.1183318840747329</v>
      </c>
      <c r="Z22" s="31">
        <f t="shared" si="28"/>
        <v>1991</v>
      </c>
      <c r="AA22" s="14">
        <f t="shared" si="29"/>
        <v>0.32670372265480091</v>
      </c>
      <c r="AB22" s="14">
        <f t="shared" si="11"/>
        <v>0.59109254843328096</v>
      </c>
      <c r="AC22" s="14">
        <f t="shared" si="12"/>
        <v>0.77477044922277616</v>
      </c>
      <c r="AD22" s="15"/>
      <c r="AE22" s="31">
        <f t="shared" si="30"/>
        <v>1991</v>
      </c>
      <c r="AF22" s="14">
        <f t="shared" si="31"/>
        <v>-0.11216869645921561</v>
      </c>
      <c r="AG22" s="14">
        <f t="shared" si="13"/>
        <v>0.64286731226109051</v>
      </c>
      <c r="AH22" s="14">
        <f t="shared" si="14"/>
        <v>1.3657528380339961</v>
      </c>
      <c r="AJ22" s="31">
        <f t="shared" si="15"/>
        <v>1991</v>
      </c>
      <c r="AK22" s="14">
        <f t="shared" si="16"/>
        <v>-1.4660770955929694</v>
      </c>
      <c r="AL22" s="14">
        <f t="shared" si="17"/>
        <v>-0.76985940204377779</v>
      </c>
      <c r="AM22" s="14">
        <f t="shared" si="18"/>
        <v>9.0759236906929885E-2</v>
      </c>
      <c r="AO22" s="13">
        <f t="shared" si="19"/>
        <v>1.7929931672990986E-2</v>
      </c>
      <c r="AP22" s="13">
        <f t="shared" si="32"/>
        <v>1.1008636546452648</v>
      </c>
      <c r="AQ22" s="13"/>
      <c r="AR22" s="13">
        <f t="shared" si="20"/>
        <v>1.7929931672990986E-2</v>
      </c>
      <c r="AS22" s="13">
        <f t="shared" si="21"/>
        <v>1.1008636546452648</v>
      </c>
      <c r="AU22" s="13">
        <f t="shared" si="22"/>
        <v>2.5207353919935924</v>
      </c>
      <c r="AV22" s="13">
        <f t="shared" si="23"/>
        <v>2.585582550956496</v>
      </c>
      <c r="AW22" s="13">
        <f t="shared" si="24"/>
        <v>2.5689245091964663</v>
      </c>
      <c r="AX22" s="13">
        <f t="shared" si="33"/>
        <v>2.5584141507155183</v>
      </c>
      <c r="AZ22" s="31">
        <f t="shared" si="25"/>
        <v>1991</v>
      </c>
      <c r="BA22" s="13">
        <v>0</v>
      </c>
      <c r="BB22" s="13">
        <f t="shared" si="44"/>
        <v>4.7214475247625128E-9</v>
      </c>
      <c r="BC22" s="13">
        <f t="shared" si="44"/>
        <v>4.1809240893224533E-6</v>
      </c>
      <c r="BD22" s="13">
        <f t="shared" si="44"/>
        <v>2.3258670338139467E-4</v>
      </c>
      <c r="BE22" s="16">
        <f t="shared" si="44"/>
        <v>2.7316155080593127E-3</v>
      </c>
      <c r="BF22" s="13">
        <f t="shared" si="44"/>
        <v>1.292902903799067E-2</v>
      </c>
      <c r="BG22" s="13">
        <f t="shared" si="44"/>
        <v>3.632646199285753E-2</v>
      </c>
      <c r="BH22" s="13">
        <f t="shared" si="44"/>
        <v>6.2731031491406311E-2</v>
      </c>
      <c r="BI22" s="13">
        <f t="shared" si="44"/>
        <v>8.8954213959790099E-2</v>
      </c>
      <c r="BJ22" s="16">
        <f t="shared" si="44"/>
        <v>0.10862258920558347</v>
      </c>
      <c r="BK22" s="13">
        <f t="shared" si="44"/>
        <v>0.12469708791539516</v>
      </c>
      <c r="BL22" s="13">
        <f t="shared" si="45"/>
        <v>0.13302982696205315</v>
      </c>
      <c r="BM22" s="13">
        <f t="shared" si="45"/>
        <v>0.13736872499557462</v>
      </c>
      <c r="BN22" s="13">
        <f t="shared" si="45"/>
        <v>0.1388756863798303</v>
      </c>
      <c r="BO22" s="16">
        <f t="shared" si="45"/>
        <v>0.13811122806127163</v>
      </c>
      <c r="BP22" s="13">
        <f t="shared" si="45"/>
        <v>0.13664444370116519</v>
      </c>
      <c r="BQ22" s="13">
        <f t="shared" si="45"/>
        <v>0.13327214120075104</v>
      </c>
      <c r="BR22" s="13">
        <f t="shared" si="45"/>
        <v>0.12850708484576726</v>
      </c>
      <c r="BS22" s="13">
        <f t="shared" si="45"/>
        <v>0.12337379615304142</v>
      </c>
      <c r="BT22" s="16">
        <f t="shared" si="45"/>
        <v>0.11756383402083143</v>
      </c>
      <c r="BU22" s="13">
        <f t="shared" si="45"/>
        <v>0.11094301520101128</v>
      </c>
      <c r="BV22" s="13">
        <f t="shared" si="45"/>
        <v>0.10394678759894566</v>
      </c>
      <c r="BW22" s="13">
        <f t="shared" si="45"/>
        <v>9.713671472387421E-2</v>
      </c>
      <c r="BX22" s="13">
        <f t="shared" si="45"/>
        <v>9.0295025459529193E-2</v>
      </c>
      <c r="BY22" s="16">
        <f t="shared" si="45"/>
        <v>8.3367945070859373E-2</v>
      </c>
      <c r="BZ22" s="17"/>
      <c r="CG22" s="31">
        <v>19</v>
      </c>
      <c r="CH22" s="32">
        <v>-0.85926999999999998</v>
      </c>
      <c r="CI22" s="32">
        <f t="shared" si="42"/>
        <v>9.4284712703943355E-2</v>
      </c>
    </row>
    <row r="23" spans="2:91" ht="13.8" x14ac:dyDescent="0.25">
      <c r="B23" s="31">
        <f t="shared" si="46"/>
        <v>1978</v>
      </c>
      <c r="C23" s="60">
        <v>37138</v>
      </c>
      <c r="D23" s="60">
        <v>73224</v>
      </c>
      <c r="E23" s="60">
        <v>53725</v>
      </c>
      <c r="F23" s="60">
        <v>31832</v>
      </c>
      <c r="CG23" s="31">
        <v>19.5</v>
      </c>
      <c r="CH23" s="32">
        <v>-0.775285</v>
      </c>
      <c r="CI23" s="32">
        <f t="shared" si="42"/>
        <v>0.1140394504239105</v>
      </c>
    </row>
    <row r="24" spans="2:91" ht="13.8" x14ac:dyDescent="0.25">
      <c r="B24" s="31">
        <f t="shared" si="46"/>
        <v>1979</v>
      </c>
      <c r="C24" s="60">
        <v>36833</v>
      </c>
      <c r="D24" s="60">
        <v>75905</v>
      </c>
      <c r="E24" s="60">
        <v>55361</v>
      </c>
      <c r="F24" s="60">
        <v>32537</v>
      </c>
      <c r="AJ24" s="31" t="s">
        <v>15</v>
      </c>
      <c r="AK24" s="13">
        <f>$CS$5</f>
        <v>-1.3753010709239122</v>
      </c>
      <c r="AL24" s="13">
        <f>$CS$6</f>
        <v>-0.67479262598867551</v>
      </c>
      <c r="AM24" s="13">
        <f>$CS$7</f>
        <v>3.9329731225932155E-2</v>
      </c>
      <c r="CG24" s="31">
        <v>20</v>
      </c>
      <c r="CH24" s="32">
        <v>-0.69130000000000003</v>
      </c>
      <c r="CI24" s="32">
        <f t="shared" si="42"/>
        <v>0.13583572213470577</v>
      </c>
    </row>
    <row r="25" spans="2:91" ht="14.4" x14ac:dyDescent="0.25">
      <c r="B25" s="31">
        <f t="shared" si="46"/>
        <v>1980</v>
      </c>
      <c r="C25" s="60">
        <v>38562</v>
      </c>
      <c r="D25" s="60">
        <v>79724</v>
      </c>
      <c r="E25" s="60">
        <v>59771</v>
      </c>
      <c r="F25" s="60">
        <v>33769</v>
      </c>
      <c r="AJ25" s="31"/>
      <c r="AU25" s="65" t="s">
        <v>35</v>
      </c>
      <c r="AV25" s="31"/>
      <c r="AW25" s="31"/>
      <c r="AZ25" s="31" t="str">
        <f>"年龄和时期的贡献：每个时期的年龄"</f>
        <v>年龄和时期的贡献：每个时期的年龄</v>
      </c>
      <c r="BA25" s="31"/>
      <c r="BB25" s="31"/>
      <c r="BC25" s="31"/>
      <c r="BD25" s="31"/>
      <c r="BE25" s="31"/>
      <c r="CG25" s="31">
        <v>20.5</v>
      </c>
      <c r="CH25" s="32">
        <v>-0.61227500000000001</v>
      </c>
      <c r="CI25" s="32">
        <f t="shared" si="42"/>
        <v>0.15808488450458288</v>
      </c>
    </row>
    <row r="26" spans="2:91" ht="14.4" x14ac:dyDescent="0.25">
      <c r="B26" s="31">
        <f t="shared" si="46"/>
        <v>1981</v>
      </c>
      <c r="C26" s="60">
        <v>40252</v>
      </c>
      <c r="D26" s="60">
        <v>86037</v>
      </c>
      <c r="E26" s="60">
        <v>64849</v>
      </c>
      <c r="F26" s="60">
        <v>36494</v>
      </c>
      <c r="AU26" s="43"/>
      <c r="AV26" s="66" t="s">
        <v>33</v>
      </c>
      <c r="AW26" s="66" t="s">
        <v>34</v>
      </c>
      <c r="AZ26" s="43"/>
      <c r="BA26" s="43" t="s">
        <v>16</v>
      </c>
      <c r="BB26" s="43" t="s">
        <v>0</v>
      </c>
      <c r="BC26" s="43" t="s">
        <v>1</v>
      </c>
      <c r="BD26" s="43" t="s">
        <v>2</v>
      </c>
      <c r="BE26" s="43" t="s">
        <v>3</v>
      </c>
      <c r="CG26" s="31">
        <v>21</v>
      </c>
      <c r="CH26" s="32">
        <v>-0.53325</v>
      </c>
      <c r="CI26" s="32">
        <f t="shared" si="42"/>
        <v>0.18187005674477622</v>
      </c>
    </row>
    <row r="27" spans="2:91" ht="13.8" x14ac:dyDescent="0.25">
      <c r="B27" s="31">
        <f t="shared" si="46"/>
        <v>1982</v>
      </c>
      <c r="C27" s="60">
        <v>39298</v>
      </c>
      <c r="D27" s="60">
        <v>86061</v>
      </c>
      <c r="E27" s="60">
        <v>68029</v>
      </c>
      <c r="F27" s="60">
        <v>38406</v>
      </c>
      <c r="AU27" s="43" t="s">
        <v>28</v>
      </c>
      <c r="AV27" s="13">
        <f>SLOPE($AO$3:$AO$22,$AJ$3:$AJ$22)</f>
        <v>6.2209525984241682E-4</v>
      </c>
      <c r="AW27" s="13">
        <f>INTERCEPT($AO$3:$AO$22,$AJ$3:$AJ$22)</f>
        <v>-1.1825595989068045</v>
      </c>
      <c r="CG27" s="31">
        <v>21.5</v>
      </c>
      <c r="CH27" s="32">
        <v>-0.45924500000000001</v>
      </c>
      <c r="CI27" s="32">
        <f t="shared" si="42"/>
        <v>0.20538305950886043</v>
      </c>
    </row>
    <row r="28" spans="2:91" ht="13.8" x14ac:dyDescent="0.25">
      <c r="B28" s="31">
        <f t="shared" si="46"/>
        <v>1983</v>
      </c>
      <c r="C28" s="60">
        <v>36077</v>
      </c>
      <c r="D28" s="60">
        <v>81213</v>
      </c>
      <c r="E28" s="60">
        <v>65236</v>
      </c>
      <c r="F28" s="60">
        <v>37506</v>
      </c>
      <c r="AU28" s="43" t="s">
        <v>29</v>
      </c>
      <c r="AV28" s="13">
        <f>SLOPE($AP$3:$AP$22,$AJ$3:$AJ$22)</f>
        <v>1.5097623223813798E-3</v>
      </c>
      <c r="AW28" s="13">
        <f>INTERCEPT($AP$3:$AP$22,$AJ$3:$AJ$22)</f>
        <v>-1.8213593407029993</v>
      </c>
      <c r="AZ28" s="31" t="str">
        <f>TEXT(AZ3,0)&amp;"-"&amp;TEXT(AZ7-1900,0)</f>
        <v>1972-76</v>
      </c>
      <c r="BA28" s="13">
        <f>SUM(BA4,BA5:BB5,BA6:BC6,BA7:BD7)</f>
        <v>1.4913678458384138E-4</v>
      </c>
      <c r="BB28" s="13">
        <f>SUM(BA3:BE3,BB4:BF4,BC5:BG5,BD6:BH6,BE7:BI7)/5</f>
        <v>8.3293751128526897E-2</v>
      </c>
      <c r="BC28" s="13">
        <f>SUM(BF3:BJ3,BG4:BK4,BH5:BL5,BI6:BM6,BJ7:BN7)/5</f>
        <v>0.60564599292090071</v>
      </c>
      <c r="BD28" s="13">
        <f>SUM(BK3:BO3,BL4:BP4,BM5:BQ5,BN6:BR6,BO7:BS7)/5</f>
        <v>0.86795848376509654</v>
      </c>
      <c r="BE28" s="13">
        <f>SUM(BP3:BT3,BQ4:BU4,BR5:BV5,BS6:BW6,BT7:BX7)/5</f>
        <v>0.74581494837033424</v>
      </c>
      <c r="CG28" s="31">
        <v>22</v>
      </c>
      <c r="CH28" s="32">
        <v>-0.38524000000000003</v>
      </c>
      <c r="CI28" s="32">
        <f t="shared" si="42"/>
        <v>0.22993305648018619</v>
      </c>
    </row>
    <row r="29" spans="2:91" ht="13.8" x14ac:dyDescent="0.25">
      <c r="B29" s="31">
        <f t="shared" si="46"/>
        <v>1984</v>
      </c>
      <c r="C29" s="60">
        <v>37571</v>
      </c>
      <c r="D29" s="60">
        <v>83960</v>
      </c>
      <c r="E29" s="60">
        <v>67266</v>
      </c>
      <c r="F29" s="60">
        <v>39105</v>
      </c>
      <c r="AZ29" s="31" t="str">
        <f>TEXT(AZ8,0)&amp;"-"&amp;TEXT(AZ12-1900,0)</f>
        <v>1977-81</v>
      </c>
      <c r="BA29" s="13">
        <f>SUM(BA9,BA10:BB10,BA11:BC11,BA12:BD12)</f>
        <v>5.3885976174168154E-5</v>
      </c>
      <c r="BB29" s="13">
        <f>SUM(BA8:BE8,BB9:BF9,BC10:BG10,BD11:BH11,BE12:BI12)/5</f>
        <v>7.0872115709903302E-2</v>
      </c>
      <c r="BC29" s="13">
        <f>SUM(BF8:BJ8,BG9:BK9,BH10:BL10,BI11:BM11,BJ12:BN12)/5</f>
        <v>0.52473209776609819</v>
      </c>
      <c r="BD29" s="13">
        <f>SUM(BK8:BO8,BL9:BP9,BM10:BQ10,BN11:BR11,BO12:BS12)/5</f>
        <v>0.70678667632965353</v>
      </c>
      <c r="BE29" s="13">
        <f>SUM(BP8:BT8,BQ9:BU9,BR10:BV10,BS11:BW11,BT12:BX12)/5</f>
        <v>0.57470182729432273</v>
      </c>
      <c r="CG29" s="31">
        <v>22.5</v>
      </c>
      <c r="CH29" s="32">
        <v>-0.31473499999999999</v>
      </c>
      <c r="CI29" s="32">
        <f t="shared" si="42"/>
        <v>0.25413332697026197</v>
      </c>
    </row>
    <row r="30" spans="2:91" ht="13.8" x14ac:dyDescent="0.25">
      <c r="B30" s="31">
        <f t="shared" si="46"/>
        <v>1985</v>
      </c>
      <c r="C30" s="60">
        <v>34946</v>
      </c>
      <c r="D30" s="60">
        <v>80735</v>
      </c>
      <c r="E30" s="60">
        <v>69180</v>
      </c>
      <c r="F30" s="60">
        <v>39828</v>
      </c>
      <c r="AZ30" s="31" t="str">
        <f>TEXT(AZ13,0)&amp;"-"&amp;TEXT(AZ17-1900,0)</f>
        <v>1982-86</v>
      </c>
      <c r="BA30" s="13">
        <f>SUM(BA14,BA15:BB15,BA16:BC16,BA17:BD17)</f>
        <v>3.9275438976910465E-5</v>
      </c>
      <c r="BB30" s="13">
        <f>SUM(BA13:BE13,BB14:BF14,BC15:BG15,BD16:BH16,BE17:BI17)/5</f>
        <v>6.0697795262267693E-2</v>
      </c>
      <c r="BC30" s="13">
        <f>SUM(BF13:BJ13,BG14:BK14,BH15:BL15,BI16:BM16,BJ17:BN17)/5</f>
        <v>0.49415665964735711</v>
      </c>
      <c r="BD30" s="13">
        <f>SUM(BK13:BO13,BL14:BP14,BM15:BQ15,BN16:BR16,BO17:BS17)/5</f>
        <v>0.70663417862748545</v>
      </c>
      <c r="BE30" s="13">
        <f>SUM(BP13:BT13,BQ14:BU14,BR15:BV15,BS16:BW16,BT17:BX17)/5</f>
        <v>0.58169150178514317</v>
      </c>
      <c r="CG30" s="31">
        <v>23</v>
      </c>
      <c r="CH30" s="32">
        <v>-0.24423</v>
      </c>
      <c r="CI30" s="32">
        <f t="shared" si="42"/>
        <v>0.27897365630982895</v>
      </c>
    </row>
    <row r="31" spans="2:91" ht="13.8" x14ac:dyDescent="0.25">
      <c r="B31" s="31">
        <f t="shared" si="46"/>
        <v>1986</v>
      </c>
      <c r="C31" s="60">
        <v>35925</v>
      </c>
      <c r="D31" s="60">
        <v>83434</v>
      </c>
      <c r="E31" s="60">
        <v>72876</v>
      </c>
      <c r="F31" s="60">
        <v>42605</v>
      </c>
      <c r="AZ31" s="31" t="str">
        <f>TEXT(AZ18,0)&amp;"-"&amp;TEXT(AZ22-1900,0)</f>
        <v>1987-91</v>
      </c>
      <c r="BA31" s="13">
        <f>SUM(BA22:BD22,BA21:BC21,BA20:BB20,BA19)</f>
        <v>2.3836013460247049E-4</v>
      </c>
      <c r="BB31" s="13">
        <f>SUM(BA18:BE18,BB19:BF19,BC20:BG20,BD21:BH21,BE22:BI22)/5</f>
        <v>7.3897879775246408E-2</v>
      </c>
      <c r="BC31" s="13">
        <f>SUM(BF18:BJ18,BG19:BK19,BH20:BL20,BI21:BM21,BJ22:BN22)/5</f>
        <v>0.50554867673010384</v>
      </c>
      <c r="BD31" s="13">
        <f>SUM(BK18:BO18,BL19:BP19,BM20:BQ20,BN21:BR21,BO22:BS22)/5</f>
        <v>0.72019969294078812</v>
      </c>
      <c r="BE31" s="13">
        <f>SUM(BP18:BT18,BQ19:BU19,BR20:BV20,BS21:BW21,BT22:BX22)/5</f>
        <v>0.60735561504270863</v>
      </c>
      <c r="CG31" s="31">
        <v>23.5</v>
      </c>
      <c r="CH31" s="32">
        <v>-0.17602999999999999</v>
      </c>
      <c r="CI31" s="32">
        <f t="shared" si="42"/>
        <v>0.30346960179502924</v>
      </c>
    </row>
    <row r="32" spans="2:91" ht="13.8" x14ac:dyDescent="0.25">
      <c r="B32" s="31">
        <f t="shared" si="46"/>
        <v>1987</v>
      </c>
      <c r="C32" s="60">
        <v>35633</v>
      </c>
      <c r="D32" s="60">
        <v>84674</v>
      </c>
      <c r="E32" s="60">
        <v>75416</v>
      </c>
      <c r="F32" s="60">
        <v>45037</v>
      </c>
      <c r="CG32" s="31">
        <v>24</v>
      </c>
      <c r="CH32" s="32">
        <v>-0.10783</v>
      </c>
      <c r="CI32" s="32">
        <f t="shared" si="42"/>
        <v>0.32828984948459988</v>
      </c>
    </row>
    <row r="33" spans="2:87" ht="13.8" x14ac:dyDescent="0.25">
      <c r="B33" s="31">
        <f t="shared" si="46"/>
        <v>1988</v>
      </c>
      <c r="C33" s="60">
        <v>37354</v>
      </c>
      <c r="D33" s="60">
        <v>87484</v>
      </c>
      <c r="E33" s="60">
        <v>80527</v>
      </c>
      <c r="F33" s="60">
        <v>48290</v>
      </c>
      <c r="CG33" s="31">
        <v>24.5</v>
      </c>
      <c r="CH33" s="32">
        <v>-4.1095E-2</v>
      </c>
      <c r="CI33" s="32">
        <f t="shared" si="42"/>
        <v>0.35276573372478942</v>
      </c>
    </row>
    <row r="34" spans="2:87" ht="13.8" x14ac:dyDescent="0.25">
      <c r="B34" s="31">
        <f t="shared" si="46"/>
        <v>1989</v>
      </c>
      <c r="C34" s="60">
        <v>39095</v>
      </c>
      <c r="D34" s="60">
        <v>86990</v>
      </c>
      <c r="E34" s="60">
        <v>82919</v>
      </c>
      <c r="F34" s="60">
        <v>50875</v>
      </c>
      <c r="CG34" s="31">
        <v>25</v>
      </c>
      <c r="CH34" s="32">
        <v>2.564E-2</v>
      </c>
      <c r="CI34" s="32">
        <f t="shared" si="42"/>
        <v>0.37731084323953967</v>
      </c>
    </row>
    <row r="35" spans="2:87" ht="13.8" x14ac:dyDescent="0.25">
      <c r="B35" s="31">
        <f>B36-1</f>
        <v>1990</v>
      </c>
      <c r="C35" s="60">
        <v>39543</v>
      </c>
      <c r="D35" s="60">
        <v>85292</v>
      </c>
      <c r="E35" s="60">
        <v>84336</v>
      </c>
      <c r="F35" s="60">
        <v>52942</v>
      </c>
      <c r="CG35" s="31">
        <v>25.5</v>
      </c>
      <c r="CH35" s="32">
        <v>9.2085E-2</v>
      </c>
      <c r="CI35" s="32">
        <f t="shared" si="42"/>
        <v>0.40170888317738856</v>
      </c>
    </row>
    <row r="36" spans="2:87" ht="13.8" x14ac:dyDescent="0.25">
      <c r="B36" s="31">
        <f>B6</f>
        <v>1991</v>
      </c>
      <c r="C36" s="60">
        <v>38324</v>
      </c>
      <c r="D36" s="60">
        <v>79406</v>
      </c>
      <c r="E36" s="60">
        <v>81907</v>
      </c>
      <c r="F36" s="60">
        <v>53425</v>
      </c>
      <c r="CG36" s="31">
        <v>26</v>
      </c>
      <c r="CH36" s="32">
        <v>0.15853</v>
      </c>
      <c r="CI36" s="32">
        <f t="shared" si="42"/>
        <v>0.42596531275486749</v>
      </c>
    </row>
    <row r="37" spans="2:87" ht="13.8" x14ac:dyDescent="0.25">
      <c r="CG37" s="31">
        <v>26.5</v>
      </c>
      <c r="CH37" s="32">
        <v>0.22500000000000001</v>
      </c>
      <c r="CI37" s="32">
        <f t="shared" si="42"/>
        <v>0.44999616487262006</v>
      </c>
    </row>
    <row r="38" spans="2:87" ht="13.8" x14ac:dyDescent="0.25">
      <c r="CG38" s="31">
        <v>27</v>
      </c>
      <c r="CH38" s="32">
        <v>0.29147000000000001</v>
      </c>
      <c r="CI38" s="32">
        <f t="shared" si="42"/>
        <v>0.47370788283757637</v>
      </c>
    </row>
    <row r="39" spans="2:87" ht="13.8" x14ac:dyDescent="0.25">
      <c r="CG39" s="31">
        <v>27.5</v>
      </c>
      <c r="CH39" s="32">
        <v>0.35831000000000002</v>
      </c>
      <c r="CI39" s="32">
        <f t="shared" si="42"/>
        <v>0.49715352560929127</v>
      </c>
    </row>
    <row r="40" spans="2:87" ht="13.8" x14ac:dyDescent="0.25">
      <c r="CG40" s="31">
        <v>28</v>
      </c>
      <c r="CH40" s="32">
        <v>0.42514999999999997</v>
      </c>
      <c r="CI40" s="32">
        <f t="shared" si="42"/>
        <v>0.52013248187634886</v>
      </c>
    </row>
    <row r="41" spans="2:87" ht="13.8" x14ac:dyDescent="0.25">
      <c r="CG41" s="31">
        <v>28.5</v>
      </c>
      <c r="CH41" s="32">
        <v>0.49307999999999996</v>
      </c>
      <c r="CI41" s="32">
        <f t="shared" si="42"/>
        <v>0.54294763089734965</v>
      </c>
    </row>
    <row r="42" spans="2:87" ht="13.8" x14ac:dyDescent="0.25">
      <c r="CG42" s="31">
        <v>29</v>
      </c>
      <c r="CH42" s="32">
        <v>0.56101000000000001</v>
      </c>
      <c r="CI42" s="32">
        <f t="shared" si="42"/>
        <v>0.56516789429087777</v>
      </c>
    </row>
    <row r="43" spans="2:87" ht="13.8" x14ac:dyDescent="0.25">
      <c r="CG43" s="31">
        <v>29.5</v>
      </c>
      <c r="CH43" s="32">
        <v>0.63050499999999998</v>
      </c>
      <c r="CI43" s="32">
        <f t="shared" si="42"/>
        <v>0.58723928008108417</v>
      </c>
    </row>
    <row r="44" spans="2:87" ht="13.8" x14ac:dyDescent="0.25">
      <c r="CG44" s="31">
        <v>30</v>
      </c>
      <c r="CH44" s="32">
        <v>0.7</v>
      </c>
      <c r="CI44" s="32">
        <f t="shared" si="42"/>
        <v>0.60860531780440641</v>
      </c>
    </row>
    <row r="45" spans="2:87" ht="13.8" x14ac:dyDescent="0.25">
      <c r="CG45" s="31">
        <v>30.5</v>
      </c>
      <c r="CH45" s="32">
        <v>0.77136000000000005</v>
      </c>
      <c r="CI45" s="32">
        <f t="shared" si="42"/>
        <v>0.62978058468408038</v>
      </c>
    </row>
    <row r="46" spans="2:87" ht="13.8" x14ac:dyDescent="0.25">
      <c r="C46" s="78"/>
      <c r="D46" s="78"/>
      <c r="E46" s="78"/>
      <c r="F46" s="78"/>
      <c r="G46" s="9"/>
      <c r="CG46" s="31">
        <v>31</v>
      </c>
      <c r="CH46" s="32">
        <v>0.84272000000000002</v>
      </c>
      <c r="CI46" s="32">
        <f t="shared" si="42"/>
        <v>0.65015930185545556</v>
      </c>
    </row>
    <row r="47" spans="2:87" ht="13.8" x14ac:dyDescent="0.25">
      <c r="G47" s="27"/>
      <c r="CG47" s="31">
        <v>31.5</v>
      </c>
      <c r="CH47" s="32">
        <v>0.91643000000000008</v>
      </c>
      <c r="CI47" s="32">
        <f t="shared" si="42"/>
        <v>0.6703573861620935</v>
      </c>
    </row>
    <row r="48" spans="2:87" ht="13.8" x14ac:dyDescent="0.25">
      <c r="G48" s="27"/>
      <c r="CG48" s="31">
        <v>32</v>
      </c>
      <c r="CH48" s="32">
        <v>0.99014000000000002</v>
      </c>
      <c r="CI48" s="32">
        <f t="shared" si="42"/>
        <v>0.68968198845643669</v>
      </c>
    </row>
    <row r="49" spans="1:87" ht="13.8" x14ac:dyDescent="0.25">
      <c r="G49" s="27"/>
      <c r="CG49" s="31">
        <v>32.5</v>
      </c>
      <c r="CH49" s="32">
        <v>1.067105</v>
      </c>
      <c r="CI49" s="32">
        <f t="shared" si="42"/>
        <v>0.70892682547846753</v>
      </c>
    </row>
    <row r="50" spans="1:87" ht="13.8" x14ac:dyDescent="0.25">
      <c r="G50" s="27"/>
      <c r="CG50" s="31">
        <v>33</v>
      </c>
      <c r="CH50" s="32">
        <v>1.1440699999999999</v>
      </c>
      <c r="CI50" s="32">
        <f t="shared" si="42"/>
        <v>0.72722453063414172</v>
      </c>
    </row>
    <row r="51" spans="1:87" ht="13.8" x14ac:dyDescent="0.25">
      <c r="G51" s="27"/>
      <c r="CG51" s="31">
        <v>33.5</v>
      </c>
      <c r="CH51" s="32">
        <v>1.2251699999999999</v>
      </c>
      <c r="CI51" s="32">
        <f t="shared" si="42"/>
        <v>0.74549431857979753</v>
      </c>
    </row>
    <row r="52" spans="1:87" ht="13.8" x14ac:dyDescent="0.25">
      <c r="CG52" s="31">
        <v>34</v>
      </c>
      <c r="CH52" s="32">
        <v>1.30627</v>
      </c>
      <c r="CI52" s="32">
        <f t="shared" si="42"/>
        <v>0.76274739968650018</v>
      </c>
    </row>
    <row r="53" spans="1:87" ht="13.8" x14ac:dyDescent="0.25">
      <c r="A53" s="28"/>
      <c r="B53" s="29"/>
      <c r="C53" s="30"/>
      <c r="D53" s="30"/>
      <c r="E53" s="30"/>
      <c r="F53" s="30"/>
      <c r="H53" s="11"/>
      <c r="CG53" s="31">
        <v>34.5</v>
      </c>
      <c r="CH53" s="32">
        <v>1.392495</v>
      </c>
      <c r="CI53" s="32">
        <f t="shared" si="42"/>
        <v>0.78000524391569137</v>
      </c>
    </row>
    <row r="54" spans="1:87" ht="13.8" x14ac:dyDescent="0.25">
      <c r="CG54" s="31">
        <v>35</v>
      </c>
      <c r="CH54" s="32">
        <v>1.47872</v>
      </c>
      <c r="CI54" s="32">
        <f t="shared" si="42"/>
        <v>0.79618058667567304</v>
      </c>
    </row>
    <row r="55" spans="1:87" ht="13.8" x14ac:dyDescent="0.25">
      <c r="CG55" s="31">
        <v>35.5</v>
      </c>
      <c r="CH55" s="32">
        <v>1.5714900000000001</v>
      </c>
      <c r="CI55" s="32">
        <f t="shared" si="42"/>
        <v>0.81242195411874019</v>
      </c>
    </row>
    <row r="56" spans="1:87" ht="13.8" x14ac:dyDescent="0.25">
      <c r="CG56" s="31">
        <v>36</v>
      </c>
      <c r="CH56" s="32">
        <v>1.6642600000000001</v>
      </c>
      <c r="CI56" s="32">
        <f t="shared" si="42"/>
        <v>0.82751279395132449</v>
      </c>
    </row>
    <row r="57" spans="1:87" ht="13.8" x14ac:dyDescent="0.25">
      <c r="CG57" s="31">
        <v>36.5</v>
      </c>
      <c r="CH57" s="32">
        <v>1.765115</v>
      </c>
      <c r="CI57" s="32">
        <f t="shared" si="42"/>
        <v>0.84268074879519927</v>
      </c>
    </row>
    <row r="58" spans="1:87" ht="13.8" x14ac:dyDescent="0.25">
      <c r="CG58" s="31">
        <v>37</v>
      </c>
      <c r="CH58" s="32">
        <v>1.8659699999999999</v>
      </c>
      <c r="CI58" s="32">
        <f t="shared" si="42"/>
        <v>0.85663270594830188</v>
      </c>
    </row>
    <row r="59" spans="1:87" ht="13.8" x14ac:dyDescent="0.25">
      <c r="CG59" s="31">
        <v>37.5</v>
      </c>
      <c r="CH59" s="32">
        <v>1.977455</v>
      </c>
      <c r="CI59" s="32">
        <f t="shared" si="42"/>
        <v>0.87073197452756534</v>
      </c>
    </row>
    <row r="60" spans="1:87" ht="13.8" x14ac:dyDescent="0.25">
      <c r="CG60" s="31">
        <v>38</v>
      </c>
      <c r="CH60" s="32">
        <v>2.08894</v>
      </c>
      <c r="CI60" s="32">
        <f t="shared" si="42"/>
        <v>0.88354035348438364</v>
      </c>
    </row>
    <row r="61" spans="1:87" ht="13.8" x14ac:dyDescent="0.25">
      <c r="CG61" s="31">
        <v>38.5</v>
      </c>
      <c r="CH61" s="32">
        <v>2.2144300000000001</v>
      </c>
      <c r="CI61" s="32">
        <f t="shared" si="42"/>
        <v>0.89653696923966519</v>
      </c>
    </row>
    <row r="62" spans="1:87" ht="13.8" x14ac:dyDescent="0.25">
      <c r="CG62" s="31">
        <v>39</v>
      </c>
      <c r="CH62" s="32">
        <v>2.3399200000000002</v>
      </c>
      <c r="CI62" s="32">
        <f t="shared" si="42"/>
        <v>0.90815941850597914</v>
      </c>
    </row>
    <row r="63" spans="1:87" ht="13.8" x14ac:dyDescent="0.25">
      <c r="CG63" s="31">
        <v>39.5</v>
      </c>
      <c r="CH63" s="32">
        <v>2.4829699999999999</v>
      </c>
      <c r="CI63" s="32">
        <f t="shared" si="42"/>
        <v>0.91989579910861818</v>
      </c>
    </row>
    <row r="64" spans="1:87" ht="13.8" x14ac:dyDescent="0.25">
      <c r="CG64" s="31">
        <v>40</v>
      </c>
      <c r="CH64" s="32">
        <v>2.62602</v>
      </c>
      <c r="CI64" s="32">
        <f t="shared" si="42"/>
        <v>0.9301904711169463</v>
      </c>
    </row>
    <row r="65" spans="85:87" ht="13.8" x14ac:dyDescent="0.25">
      <c r="CG65" s="31">
        <v>40.5</v>
      </c>
      <c r="CH65" s="32">
        <v>2.7905100000000003</v>
      </c>
      <c r="CI65" s="32">
        <f t="shared" si="42"/>
        <v>0.94045648704234741</v>
      </c>
    </row>
    <row r="66" spans="85:87" ht="13.8" x14ac:dyDescent="0.25">
      <c r="CG66" s="31">
        <v>41</v>
      </c>
      <c r="CH66" s="32">
        <v>2.9550000000000001</v>
      </c>
      <c r="CI66" s="32">
        <f t="shared" si="42"/>
        <v>0.94925419502434549</v>
      </c>
    </row>
    <row r="67" spans="85:87" ht="13.8" x14ac:dyDescent="0.25">
      <c r="CG67" s="31">
        <v>41.5</v>
      </c>
      <c r="CH67" s="32">
        <v>3.1418650000000001</v>
      </c>
      <c r="CI67" s="32">
        <f t="shared" si="42"/>
        <v>0.9577177671698458</v>
      </c>
    </row>
    <row r="68" spans="85:87" ht="13.8" x14ac:dyDescent="0.25">
      <c r="CG68" s="31">
        <v>42</v>
      </c>
      <c r="CH68" s="32">
        <v>3.3287300000000002</v>
      </c>
      <c r="CI68" s="32">
        <f t="shared" si="42"/>
        <v>0.9647960074927292</v>
      </c>
    </row>
    <row r="69" spans="85:87" ht="13.8" x14ac:dyDescent="0.25">
      <c r="CG69" s="31">
        <v>42.5</v>
      </c>
      <c r="CH69" s="32">
        <v>3.5442850000000004</v>
      </c>
      <c r="CI69" s="32">
        <f t="shared" si="42"/>
        <v>0.97152403443876401</v>
      </c>
    </row>
    <row r="70" spans="85:87" ht="13.8" x14ac:dyDescent="0.25">
      <c r="CG70" s="31">
        <v>43</v>
      </c>
      <c r="CH70" s="32">
        <v>3.7598400000000001</v>
      </c>
      <c r="CI70" s="32">
        <f t="shared" ref="CI70:CI82" si="47">EXP(-EXP(-CH70))</f>
        <v>0.97698159434136056</v>
      </c>
    </row>
    <row r="71" spans="85:87" ht="13.8" x14ac:dyDescent="0.25">
      <c r="CG71" s="31">
        <v>43.5</v>
      </c>
      <c r="CH71" s="32">
        <v>4.0074149999999999</v>
      </c>
      <c r="CI71" s="32">
        <f t="shared" si="47"/>
        <v>0.98198393453897526</v>
      </c>
    </row>
    <row r="72" spans="85:87" ht="13.8" x14ac:dyDescent="0.25">
      <c r="CG72" s="31">
        <v>44</v>
      </c>
      <c r="CH72" s="32">
        <v>4.2549900000000003</v>
      </c>
      <c r="CI72" s="32">
        <f t="shared" si="47"/>
        <v>0.98590701640310585</v>
      </c>
    </row>
    <row r="73" spans="85:87" ht="13.8" x14ac:dyDescent="0.25">
      <c r="CG73" s="31">
        <v>44.5</v>
      </c>
      <c r="CH73" s="32">
        <v>4.5323450000000003</v>
      </c>
      <c r="CI73" s="32">
        <f t="shared" si="47"/>
        <v>0.9893022077709992</v>
      </c>
    </row>
    <row r="74" spans="85:87" ht="13.8" x14ac:dyDescent="0.25">
      <c r="CG74" s="31">
        <v>45</v>
      </c>
      <c r="CH74" s="32">
        <v>4.8097000000000003</v>
      </c>
      <c r="CI74" s="32">
        <f t="shared" si="47"/>
        <v>0.99188281925836119</v>
      </c>
    </row>
    <row r="75" spans="85:87" ht="13.8" x14ac:dyDescent="0.25">
      <c r="CG75" s="31">
        <v>45.5</v>
      </c>
      <c r="CH75" s="32">
        <v>5.1114049999999995</v>
      </c>
      <c r="CI75" s="32">
        <f t="shared" si="47"/>
        <v>0.99399052140390287</v>
      </c>
    </row>
    <row r="76" spans="85:87" ht="13.8" x14ac:dyDescent="0.25">
      <c r="CG76" s="31">
        <v>46</v>
      </c>
      <c r="CH76" s="32">
        <v>5.4131099999999996</v>
      </c>
      <c r="CI76" s="32">
        <f t="shared" si="47"/>
        <v>0.99555216602957797</v>
      </c>
    </row>
    <row r="77" spans="85:87" ht="13.8" x14ac:dyDescent="0.25">
      <c r="CG77" s="31">
        <v>46.5</v>
      </c>
      <c r="CH77" s="32">
        <v>5.7708750000000002</v>
      </c>
      <c r="CI77" s="32">
        <f t="shared" si="47"/>
        <v>0.99688782397086073</v>
      </c>
    </row>
    <row r="78" spans="85:87" ht="13.8" x14ac:dyDescent="0.25">
      <c r="CG78" s="31">
        <v>47</v>
      </c>
      <c r="CH78" s="32">
        <v>6.1286399999999999</v>
      </c>
      <c r="CI78" s="32">
        <f t="shared" si="47"/>
        <v>0.99782283035479935</v>
      </c>
    </row>
    <row r="79" spans="85:87" ht="13.8" x14ac:dyDescent="0.25">
      <c r="CG79" s="31">
        <v>47.5</v>
      </c>
      <c r="CH79" s="32">
        <v>6.5994299999999999</v>
      </c>
      <c r="CI79" s="32">
        <f t="shared" si="47"/>
        <v>0.9986397822675217</v>
      </c>
    </row>
    <row r="80" spans="85:87" ht="13.8" x14ac:dyDescent="0.25">
      <c r="CG80" s="31">
        <v>48</v>
      </c>
      <c r="CH80" s="32">
        <v>7.0702199999999999</v>
      </c>
      <c r="CI80" s="32">
        <f t="shared" si="47"/>
        <v>0.99915031510836183</v>
      </c>
    </row>
    <row r="81" spans="85:87" ht="13.8" x14ac:dyDescent="0.25">
      <c r="CG81" s="31">
        <v>48.5</v>
      </c>
      <c r="CH81" s="32">
        <v>7.8593049999999991</v>
      </c>
      <c r="CI81" s="32">
        <f t="shared" si="47"/>
        <v>0.9996139323963561</v>
      </c>
    </row>
    <row r="82" spans="85:87" ht="13.8" x14ac:dyDescent="0.25">
      <c r="CG82" s="31">
        <v>49</v>
      </c>
      <c r="CH82" s="32">
        <v>8.6483899999999991</v>
      </c>
      <c r="CI82" s="32">
        <f t="shared" si="47"/>
        <v>0.99982460635378612</v>
      </c>
    </row>
    <row r="83" spans="85:87" ht="13.8" x14ac:dyDescent="0.25">
      <c r="CG83" s="31">
        <v>49.5</v>
      </c>
      <c r="CH83" s="32">
        <v>11.824195</v>
      </c>
      <c r="CI83" s="32">
        <v>0.99999899999999997</v>
      </c>
    </row>
    <row r="84" spans="85:87" ht="13.8" x14ac:dyDescent="0.25">
      <c r="CG84" s="31">
        <v>50</v>
      </c>
      <c r="CH84" s="32">
        <v>15</v>
      </c>
      <c r="CI84" s="32">
        <v>0.99999899999999997</v>
      </c>
    </row>
    <row r="85" spans="85:87" ht="13.8" x14ac:dyDescent="0.25">
      <c r="CG85" s="31">
        <v>50.5</v>
      </c>
      <c r="CH85" s="32">
        <v>99999</v>
      </c>
      <c r="CI85" s="32">
        <v>1</v>
      </c>
    </row>
    <row r="86" spans="85:87" ht="13.8" x14ac:dyDescent="0.25">
      <c r="CG86" s="31">
        <v>51</v>
      </c>
      <c r="CH86" s="32">
        <v>99999</v>
      </c>
      <c r="CI86" s="32">
        <v>1</v>
      </c>
    </row>
    <row r="87" spans="85:87" ht="13.8" x14ac:dyDescent="0.25">
      <c r="CG87" s="31">
        <v>51.5</v>
      </c>
      <c r="CH87" s="32">
        <v>99999</v>
      </c>
      <c r="CI87" s="32">
        <v>1</v>
      </c>
    </row>
    <row r="88" spans="85:87" ht="13.8" x14ac:dyDescent="0.25">
      <c r="CG88" s="31">
        <v>52</v>
      </c>
      <c r="CH88" s="32">
        <v>99999</v>
      </c>
      <c r="CI88" s="32">
        <v>1</v>
      </c>
    </row>
    <row r="89" spans="85:87" ht="13.8" x14ac:dyDescent="0.25">
      <c r="CG89" s="31">
        <v>52.5</v>
      </c>
      <c r="CH89" s="32">
        <v>99999</v>
      </c>
      <c r="CI89" s="32">
        <v>1</v>
      </c>
    </row>
    <row r="90" spans="85:87" ht="13.8" x14ac:dyDescent="0.25">
      <c r="CG90" s="31">
        <v>53</v>
      </c>
      <c r="CH90" s="32">
        <v>99999</v>
      </c>
      <c r="CI90" s="32">
        <v>1</v>
      </c>
    </row>
    <row r="91" spans="85:87" ht="13.8" x14ac:dyDescent="0.25">
      <c r="CG91" s="31">
        <v>53.5</v>
      </c>
      <c r="CH91" s="32">
        <v>100000</v>
      </c>
      <c r="CI91" s="32">
        <v>1</v>
      </c>
    </row>
  </sheetData>
  <mergeCells count="2">
    <mergeCell ref="C46:F46"/>
    <mergeCell ref="E13:F13"/>
  </mergeCells>
  <phoneticPr fontId="2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workbookViewId="0">
      <selection activeCell="S16" sqref="S16"/>
    </sheetView>
  </sheetViews>
  <sheetFormatPr defaultRowHeight="14.4" x14ac:dyDescent="0.25"/>
  <sheetData/>
  <sheetProtection selectLockedCells="1" selectUnlockedCells="1"/>
  <phoneticPr fontId="26"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T14" sqref="T14"/>
    </sheetView>
  </sheetViews>
  <sheetFormatPr defaultRowHeight="14.4" x14ac:dyDescent="0.25"/>
  <sheetData>
    <row r="1" spans="1:1" x14ac:dyDescent="0.25">
      <c r="A1" t="str">
        <f>"Observed age-specific fertility rates, "&amp;Introduction!E9&amp;" "&amp;Method!B17&amp;"-"&amp;Method!B36</f>
        <v>Observed age-specific fertility rates, 智利 1972-1991</v>
      </c>
    </row>
  </sheetData>
  <sheetProtection selectLockedCells="1" selectUnlockedCells="1"/>
  <phoneticPr fontId="26"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Introduction</vt:lpstr>
      <vt:lpstr>Method</vt:lpstr>
      <vt:lpstr>Alpha and beta plots</vt:lpstr>
      <vt:lpstr>Observed fertility rates</vt:lpstr>
      <vt:lpstr>smoothed</vt:lpstr>
    </vt:vector>
  </TitlesOfParts>
  <Company>University of Cape Town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01404747</dc:creator>
  <cp:lastModifiedBy>gudanan</cp:lastModifiedBy>
  <dcterms:created xsi:type="dcterms:W3CDTF">2011-08-17T12:52:03Z</dcterms:created>
  <dcterms:modified xsi:type="dcterms:W3CDTF">2018-07-19T05:50:52Z</dcterms:modified>
</cp:coreProperties>
</file>